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defaultThemeVersion="166925"/>
  <mc:AlternateContent xmlns:mc="http://schemas.openxmlformats.org/markup-compatibility/2006">
    <mc:Choice Requires="x15">
      <x15ac:absPath xmlns:x15ac="http://schemas.microsoft.com/office/spreadsheetml/2010/11/ac" url="Z:\Jared Langton- Working File\0 - VOB Spend Report\"/>
    </mc:Choice>
  </mc:AlternateContent>
  <xr:revisionPtr revIDLastSave="0" documentId="8_{5DFFEE74-5B6B-4CBC-B76D-B220B343C5B5}" xr6:coauthVersionLast="47" xr6:coauthVersionMax="47" xr10:uidLastSave="{00000000-0000-0000-0000-000000000000}"/>
  <bookViews>
    <workbookView xWindow="28680" yWindow="-30" windowWidth="29040" windowHeight="15840" firstSheet="1" activeTab="1" xr2:uid="{5C0F85BB-3EC8-492D-8969-8986D2AF7A9A}"/>
  </bookViews>
  <sheets>
    <sheet name="Baseline Report" sheetId="1" r:id="rId1"/>
    <sheet name="FY24" sheetId="3" r:id="rId2"/>
  </sheets>
  <externalReferences>
    <externalReference r:id="rId3"/>
    <externalReference r:id="rId4"/>
  </externalReferences>
  <definedNames>
    <definedName name="_xlnm._FilterDatabase" localSheetId="0" hidden="1">'Baseline Report'!$A$4:$I$4</definedName>
    <definedName name="_xlnm._FilterDatabase" localSheetId="1" hidden="1">'FY24'!$A$4:$AC$4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9" i="3" l="1"/>
  <c r="Y59" i="3"/>
  <c r="X59" i="3"/>
  <c r="S59" i="3"/>
  <c r="R59" i="3"/>
  <c r="Q59" i="3"/>
  <c r="B69" i="3"/>
  <c r="B65" i="3"/>
  <c r="AA55" i="3" l="1"/>
  <c r="AB55" i="3" s="1"/>
  <c r="AE55" i="3" s="1"/>
  <c r="AA54" i="3"/>
  <c r="AA51" i="3"/>
  <c r="AA39" i="3"/>
  <c r="AA33" i="3"/>
  <c r="AB33" i="3" s="1"/>
  <c r="AA32" i="3"/>
  <c r="AB32" i="3" s="1"/>
  <c r="AE32" i="3" s="1"/>
  <c r="AA30" i="3"/>
  <c r="AB30" i="3" s="1"/>
  <c r="AA29" i="3"/>
  <c r="AA25" i="3"/>
  <c r="AB25" i="3" s="1"/>
  <c r="AE25" i="3" s="1"/>
  <c r="AA23" i="3"/>
  <c r="AB23" i="3" s="1"/>
  <c r="AE23" i="3" s="1"/>
  <c r="AA20" i="3"/>
  <c r="AA19" i="3"/>
  <c r="AA31" i="3"/>
  <c r="AA18" i="3"/>
  <c r="AB18" i="3" s="1"/>
  <c r="AE18" i="3" s="1"/>
  <c r="AA16" i="3"/>
  <c r="AA14" i="3"/>
  <c r="AA59" i="3" s="1"/>
  <c r="AB59" i="3" s="1"/>
  <c r="AB6" i="3"/>
  <c r="AB7" i="3"/>
  <c r="AB8" i="3"/>
  <c r="AE8" i="3" s="1"/>
  <c r="AB9" i="3"/>
  <c r="AB10" i="3"/>
  <c r="AB11" i="3"/>
  <c r="AB12" i="3"/>
  <c r="AB13" i="3"/>
  <c r="AB15" i="3"/>
  <c r="AB16" i="3"/>
  <c r="AB17" i="3"/>
  <c r="AB19" i="3"/>
  <c r="AB20" i="3"/>
  <c r="AB21" i="3"/>
  <c r="AE21" i="3" s="1"/>
  <c r="AB22" i="3"/>
  <c r="AB24" i="3"/>
  <c r="AE24" i="3" s="1"/>
  <c r="AB26" i="3"/>
  <c r="AB27" i="3"/>
  <c r="AB28" i="3"/>
  <c r="AB29" i="3"/>
  <c r="AE29" i="3" s="1"/>
  <c r="AB31" i="3"/>
  <c r="AE31" i="3" s="1"/>
  <c r="AB34" i="3"/>
  <c r="AB35" i="3"/>
  <c r="AB36" i="3"/>
  <c r="AB37" i="3"/>
  <c r="AB38" i="3"/>
  <c r="AB39" i="3"/>
  <c r="AE39" i="3" s="1"/>
  <c r="AB40" i="3"/>
  <c r="AE40" i="3" s="1"/>
  <c r="AB41" i="3"/>
  <c r="AB42" i="3"/>
  <c r="AB43" i="3"/>
  <c r="AE43" i="3" s="1"/>
  <c r="AB44" i="3"/>
  <c r="AE44" i="3" s="1"/>
  <c r="AB45" i="3"/>
  <c r="AB46" i="3"/>
  <c r="AB47" i="3"/>
  <c r="AB48" i="3"/>
  <c r="AB49" i="3"/>
  <c r="AB50" i="3"/>
  <c r="AB51" i="3"/>
  <c r="AB52" i="3"/>
  <c r="AB53" i="3"/>
  <c r="AE53" i="3" s="1"/>
  <c r="AB54" i="3"/>
  <c r="AE54" i="3" s="1"/>
  <c r="AB56" i="3"/>
  <c r="AB57" i="3"/>
  <c r="AB58" i="3"/>
  <c r="AB5" i="3"/>
  <c r="T55" i="3"/>
  <c r="U55" i="3" s="1"/>
  <c r="T54" i="3"/>
  <c r="U54" i="3" s="1"/>
  <c r="T32" i="3"/>
  <c r="U32" i="3" s="1"/>
  <c r="T31" i="3"/>
  <c r="U31" i="3" s="1"/>
  <c r="T30" i="3"/>
  <c r="U30" i="3" s="1"/>
  <c r="T29" i="3"/>
  <c r="T25" i="3"/>
  <c r="T23" i="3"/>
  <c r="U23" i="3" s="1"/>
  <c r="T20" i="3"/>
  <c r="U20" i="3" s="1"/>
  <c r="T19" i="3"/>
  <c r="T18" i="3"/>
  <c r="T16" i="3"/>
  <c r="T59" i="3" s="1"/>
  <c r="U59" i="3" s="1"/>
  <c r="U6" i="3"/>
  <c r="U7" i="3"/>
  <c r="U8" i="3"/>
  <c r="U9" i="3"/>
  <c r="U10" i="3"/>
  <c r="U11" i="3"/>
  <c r="U12" i="3"/>
  <c r="U13" i="3"/>
  <c r="U14" i="3"/>
  <c r="U15" i="3"/>
  <c r="U16" i="3"/>
  <c r="U17" i="3"/>
  <c r="U18" i="3"/>
  <c r="U19" i="3"/>
  <c r="U21" i="3"/>
  <c r="U22" i="3"/>
  <c r="U24" i="3"/>
  <c r="U25" i="3"/>
  <c r="U26" i="3"/>
  <c r="U27" i="3"/>
  <c r="U28" i="3"/>
  <c r="U29" i="3"/>
  <c r="U33" i="3"/>
  <c r="U34" i="3"/>
  <c r="U35" i="3"/>
  <c r="U36" i="3"/>
  <c r="U37" i="3"/>
  <c r="U38" i="3"/>
  <c r="U39" i="3"/>
  <c r="U40" i="3"/>
  <c r="U41" i="3"/>
  <c r="U42" i="3"/>
  <c r="U43" i="3"/>
  <c r="U44" i="3"/>
  <c r="U45" i="3"/>
  <c r="U46" i="3"/>
  <c r="U47" i="3"/>
  <c r="U48" i="3"/>
  <c r="U49" i="3"/>
  <c r="U50" i="3"/>
  <c r="U51" i="3"/>
  <c r="U52" i="3"/>
  <c r="U53" i="3"/>
  <c r="U56" i="3"/>
  <c r="U57" i="3"/>
  <c r="U58" i="3"/>
  <c r="U5" i="3"/>
  <c r="E52" i="3"/>
  <c r="E53" i="3"/>
  <c r="E54" i="3"/>
  <c r="E55" i="3"/>
  <c r="E56" i="3"/>
  <c r="E57" i="3"/>
  <c r="E58"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6" i="3"/>
  <c r="AB14" i="3" l="1"/>
  <c r="B66" i="3"/>
  <c r="B68" i="3" s="1"/>
  <c r="E5" i="3"/>
  <c r="B64" i="1"/>
  <c r="F59" i="1"/>
  <c r="F57" i="1"/>
  <c r="H57" i="1" s="1"/>
  <c r="F52" i="1"/>
  <c r="F49" i="1"/>
  <c r="F48" i="1"/>
  <c r="H48" i="1" s="1"/>
  <c r="G35" i="1"/>
  <c r="F35" i="1"/>
  <c r="G11" i="1"/>
  <c r="E11" i="1"/>
  <c r="F11" i="1" s="1"/>
  <c r="G9" i="1"/>
  <c r="E9" i="1"/>
  <c r="F9" i="1" s="1"/>
  <c r="G12" i="1"/>
  <c r="E12" i="1"/>
  <c r="F12" i="1" s="1"/>
  <c r="G16" i="1"/>
  <c r="E16" i="1"/>
  <c r="F16" i="1" s="1"/>
  <c r="G7" i="1"/>
  <c r="E7" i="1"/>
  <c r="F7" i="1" s="1"/>
  <c r="G43" i="1"/>
  <c r="E43" i="1"/>
  <c r="F43" i="1" s="1"/>
  <c r="G51" i="1"/>
  <c r="E51" i="1"/>
  <c r="F51" i="1" s="1"/>
  <c r="G27" i="1"/>
  <c r="E27" i="1"/>
  <c r="F27" i="1" s="1"/>
  <c r="G37" i="1"/>
  <c r="E37" i="1"/>
  <c r="F37" i="1" s="1"/>
  <c r="G38" i="1"/>
  <c r="E38" i="1"/>
  <c r="F38" i="1" s="1"/>
  <c r="G58" i="1"/>
  <c r="E58" i="1"/>
  <c r="F58" i="1" s="1"/>
  <c r="G14" i="1"/>
  <c r="E14" i="1"/>
  <c r="F14" i="1" s="1"/>
  <c r="G47" i="1"/>
  <c r="F47" i="1"/>
  <c r="G28" i="1"/>
  <c r="E28" i="1"/>
  <c r="F28" i="1" s="1"/>
  <c r="G42" i="1"/>
  <c r="E42" i="1"/>
  <c r="F42" i="1" s="1"/>
  <c r="G15" i="1"/>
  <c r="E15" i="1"/>
  <c r="F15" i="1" s="1"/>
  <c r="G18" i="1"/>
  <c r="E18" i="1"/>
  <c r="F18" i="1" s="1"/>
  <c r="G31" i="1"/>
  <c r="E31" i="1"/>
  <c r="F31" i="1" s="1"/>
  <c r="G23" i="1"/>
  <c r="E23" i="1"/>
  <c r="F23" i="1" s="1"/>
  <c r="G41" i="1"/>
  <c r="E41" i="1"/>
  <c r="F41" i="1" s="1"/>
  <c r="G17" i="1"/>
  <c r="E17" i="1"/>
  <c r="F17" i="1" s="1"/>
  <c r="G21" i="1"/>
  <c r="E21" i="1"/>
  <c r="F21" i="1" s="1"/>
  <c r="G36" i="1"/>
  <c r="E36" i="1"/>
  <c r="F36" i="1" s="1"/>
  <c r="G29" i="1"/>
  <c r="E29" i="1"/>
  <c r="F29" i="1" s="1"/>
  <c r="G45" i="1"/>
  <c r="E45" i="1"/>
  <c r="F45" i="1" s="1"/>
  <c r="G34" i="1"/>
  <c r="E34" i="1"/>
  <c r="F34" i="1" s="1"/>
  <c r="G20" i="1"/>
  <c r="E20" i="1"/>
  <c r="F20" i="1" s="1"/>
  <c r="G26" i="1"/>
  <c r="E26" i="1"/>
  <c r="F26" i="1" s="1"/>
  <c r="G5" i="1"/>
  <c r="E5" i="1"/>
  <c r="F5" i="1" s="1"/>
  <c r="G30" i="1"/>
  <c r="E30" i="1"/>
  <c r="F30" i="1" s="1"/>
  <c r="G44" i="1"/>
  <c r="E44" i="1"/>
  <c r="F44" i="1" s="1"/>
  <c r="G10" i="1"/>
  <c r="E10" i="1"/>
  <c r="F10" i="1" s="1"/>
  <c r="G33" i="1"/>
  <c r="E33" i="1"/>
  <c r="F33" i="1" s="1"/>
  <c r="G56" i="1"/>
  <c r="E56" i="1"/>
  <c r="F56" i="1" s="1"/>
  <c r="G32" i="1"/>
  <c r="E32" i="1"/>
  <c r="F32" i="1" s="1"/>
  <c r="G39" i="1"/>
  <c r="E39" i="1"/>
  <c r="F39" i="1" s="1"/>
  <c r="G54" i="1"/>
  <c r="E54" i="1"/>
  <c r="F54" i="1" s="1"/>
  <c r="G24" i="1"/>
  <c r="E24" i="1"/>
  <c r="F24" i="1" s="1"/>
  <c r="G19" i="1"/>
  <c r="E19" i="1"/>
  <c r="F19" i="1" s="1"/>
  <c r="G25" i="1"/>
  <c r="E25" i="1"/>
  <c r="F25" i="1" s="1"/>
  <c r="G13" i="1"/>
  <c r="E13" i="1"/>
  <c r="F13" i="1" s="1"/>
  <c r="G40" i="1"/>
  <c r="E40" i="1"/>
  <c r="F40" i="1" s="1"/>
  <c r="G22" i="1"/>
  <c r="E22" i="1"/>
  <c r="F22" i="1" s="1"/>
  <c r="G6" i="1"/>
  <c r="E6" i="1"/>
  <c r="F6" i="1" s="1"/>
  <c r="G50" i="1"/>
  <c r="E50" i="1"/>
  <c r="F50" i="1" s="1"/>
  <c r="G8" i="1"/>
  <c r="E8" i="1"/>
  <c r="F8" i="1" s="1"/>
  <c r="I40" i="1" l="1"/>
  <c r="I6" i="1"/>
  <c r="I19" i="1"/>
  <c r="I22" i="1"/>
  <c r="I39" i="1"/>
  <c r="I25" i="1"/>
  <c r="I54" i="1"/>
  <c r="I10" i="1"/>
  <c r="H29" i="1"/>
  <c r="H27" i="1"/>
  <c r="H7" i="1"/>
  <c r="H12" i="1"/>
  <c r="H15" i="1"/>
  <c r="H14" i="1"/>
  <c r="H44" i="1"/>
  <c r="H47" i="1"/>
  <c r="H43" i="1"/>
  <c r="H23" i="1"/>
  <c r="H11" i="1"/>
  <c r="H38" i="1"/>
  <c r="H34" i="1"/>
  <c r="H45" i="1"/>
  <c r="H28" i="1"/>
  <c r="H40" i="1"/>
  <c r="H10" i="1"/>
  <c r="H51" i="1"/>
  <c r="H56" i="1"/>
  <c r="H31" i="1"/>
  <c r="H9" i="1"/>
  <c r="H8" i="1"/>
  <c r="H13" i="1"/>
  <c r="H37" i="1"/>
  <c r="H16" i="1"/>
  <c r="H58" i="1"/>
  <c r="H50" i="1"/>
  <c r="H39" i="1"/>
  <c r="H33" i="1"/>
  <c r="H21" i="1"/>
  <c r="H5" i="1"/>
  <c r="H6" i="1"/>
  <c r="H42" i="1"/>
  <c r="H22" i="1"/>
  <c r="H26" i="1"/>
  <c r="H17" i="1"/>
  <c r="H24" i="1"/>
  <c r="H20" i="1"/>
  <c r="H18" i="1"/>
  <c r="H25" i="1"/>
  <c r="H41" i="1"/>
  <c r="H30" i="1"/>
  <c r="H36" i="1"/>
  <c r="H19" i="1"/>
  <c r="H32" i="1"/>
  <c r="H54" i="1"/>
</calcChain>
</file>

<file path=xl/sharedStrings.xml><?xml version="1.0" encoding="utf-8"?>
<sst xmlns="http://schemas.openxmlformats.org/spreadsheetml/2006/main" count="303" uniqueCount="180">
  <si>
    <t xml:space="preserve">                     WASHINGTON STATE EXECUTIVE AND SMALL CABINET AGENCY                        </t>
  </si>
  <si>
    <t>CERTIFIED VETERAN OWNED BUSINESS SPEND REPORT AND FY24 SUGGESTED GOALS</t>
  </si>
  <si>
    <t>Agency Number</t>
  </si>
  <si>
    <t>AVG Spend By Agency</t>
  </si>
  <si>
    <t>FY21</t>
  </si>
  <si>
    <t>FY22</t>
  </si>
  <si>
    <t>FY23</t>
  </si>
  <si>
    <t>Total 3yr               Spend</t>
  </si>
  <si>
    <t xml:space="preserve">Total 3yr Veteran  Spend </t>
  </si>
  <si>
    <t>FY21-23 Avg VOB
% Spend</t>
  </si>
  <si>
    <t xml:space="preserve">FY24 Agency Goals
</t>
  </si>
  <si>
    <t>055</t>
  </si>
  <si>
    <t>Administrative Office of the Courts**</t>
  </si>
  <si>
    <t>Arts Commission**</t>
  </si>
  <si>
    <t>165</t>
  </si>
  <si>
    <t>Board of Accountancy**</t>
  </si>
  <si>
    <t>Board of Industrial Insurance Appeals</t>
  </si>
  <si>
    <t>142</t>
  </si>
  <si>
    <t>Board of Tax Appeals**</t>
  </si>
  <si>
    <t>Center for Childhood Deafness &amp; Hearing Loss **</t>
  </si>
  <si>
    <t>119</t>
  </si>
  <si>
    <t>Commission on African American Affairs**</t>
  </si>
  <si>
    <t>087</t>
  </si>
  <si>
    <t>Commission on Asian Pacific American Affairs**</t>
  </si>
  <si>
    <t>Commission on Hispanic Affairs</t>
  </si>
  <si>
    <t>163</t>
  </si>
  <si>
    <t>Consolidated Technology Services (WaTech)**</t>
  </si>
  <si>
    <t>495</t>
  </si>
  <si>
    <t>Department of Agriculture**</t>
  </si>
  <si>
    <t>355</t>
  </si>
  <si>
    <t>Department of Archaeology and Historic Preservation**</t>
  </si>
  <si>
    <t>307</t>
  </si>
  <si>
    <t>Department of Children, Youth and Families**</t>
  </si>
  <si>
    <t>103</t>
  </si>
  <si>
    <t>Department of Commerce**</t>
  </si>
  <si>
    <t>Department of Corrections</t>
  </si>
  <si>
    <t>461</t>
  </si>
  <si>
    <t>Department of Ecology</t>
  </si>
  <si>
    <t>179</t>
  </si>
  <si>
    <t>Department of Enterprise Services</t>
  </si>
  <si>
    <t>Department of Financial Institutions</t>
  </si>
  <si>
    <t>303</t>
  </si>
  <si>
    <t>Department of Health</t>
  </si>
  <si>
    <t>Department of Labor and Industries</t>
  </si>
  <si>
    <t>Department of Licensing**</t>
  </si>
  <si>
    <t>Department of Natural Resources</t>
  </si>
  <si>
    <t>124</t>
  </si>
  <si>
    <t>Department of Retirement Systems</t>
  </si>
  <si>
    <t>140</t>
  </si>
  <si>
    <t>Department of Revenue</t>
  </si>
  <si>
    <t>315</t>
  </si>
  <si>
    <t>Department of Services for the Blind**</t>
  </si>
  <si>
    <t>Department of Social and Health Services</t>
  </si>
  <si>
    <t>405</t>
  </si>
  <si>
    <t>Department of Transportation**</t>
  </si>
  <si>
    <t>Department of Veterans Affairs</t>
  </si>
  <si>
    <t>Dept of Fish And Wildlife</t>
  </si>
  <si>
    <t>540</t>
  </si>
  <si>
    <t>Employment Security Department</t>
  </si>
  <si>
    <t>463</t>
  </si>
  <si>
    <t>Energy Facility Site Evaluation Council**</t>
  </si>
  <si>
    <t>468</t>
  </si>
  <si>
    <t>Environmental and Land Use Hearings Office**</t>
  </si>
  <si>
    <t>086</t>
  </si>
  <si>
    <t>Governor's Office of Indian Affairs**</t>
  </si>
  <si>
    <t>107</t>
  </si>
  <si>
    <t>Health Care Authority</t>
  </si>
  <si>
    <t>Liquor and Cannabis Board</t>
  </si>
  <si>
    <t>Military Department</t>
  </si>
  <si>
    <t>110</t>
  </si>
  <si>
    <t>Office of Administrative Hearings</t>
  </si>
  <si>
    <t>105</t>
  </si>
  <si>
    <t>Office of Financial Management**</t>
  </si>
  <si>
    <t>075</t>
  </si>
  <si>
    <t>Office of Governor**</t>
  </si>
  <si>
    <t>Office of Independent Investigations**</t>
  </si>
  <si>
    <t>147</t>
  </si>
  <si>
    <t>Office of Minority &amp; Women's Business Enterprises**</t>
  </si>
  <si>
    <t>Office of the Attorney General</t>
  </si>
  <si>
    <t>462</t>
  </si>
  <si>
    <t>Pollution Liability Insurance Agency</t>
  </si>
  <si>
    <t>478</t>
  </si>
  <si>
    <t>Puget Sound Partnership</t>
  </si>
  <si>
    <t>467</t>
  </si>
  <si>
    <t>Recreation and Conservation Office**</t>
  </si>
  <si>
    <t>State School for the Blind</t>
  </si>
  <si>
    <t>228</t>
  </si>
  <si>
    <t>Traffic Safety Commission</t>
  </si>
  <si>
    <t>215</t>
  </si>
  <si>
    <t>Utilities and Transportation Commission**</t>
  </si>
  <si>
    <t>227</t>
  </si>
  <si>
    <t>WA State Criminal Justice Training Commission</t>
  </si>
  <si>
    <t>Washington State Historical Society**</t>
  </si>
  <si>
    <t>Washington State Parks &amp; Recreation Commission</t>
  </si>
  <si>
    <t>Washington State Patrol</t>
  </si>
  <si>
    <t>340</t>
  </si>
  <si>
    <t>Washington Student Achievement Council**</t>
  </si>
  <si>
    <t>116</t>
  </si>
  <si>
    <t>Washington's Lottery</t>
  </si>
  <si>
    <t>354</t>
  </si>
  <si>
    <t>Workforce Training and Education Coordinating Board**</t>
  </si>
  <si>
    <t>total</t>
  </si>
  <si>
    <t>responses</t>
  </si>
  <si>
    <t>delta</t>
  </si>
  <si>
    <t>**</t>
  </si>
  <si>
    <t>No record of agency response, will proceed with FY24 suggested agency goal</t>
  </si>
  <si>
    <t>The following small cabinet agencies had no record of spend in Enterprise reporting as they have no state agency number.  The agencies either report separately or are included within another state agencies.  Those seven agencies should establish their veteran-owned business spend goals in line with other small and executive cabinet agencies.</t>
  </si>
  <si>
    <t>Correction Ombuds</t>
  </si>
  <si>
    <t>Education Ombuds</t>
  </si>
  <si>
    <t>Indeterminate Sentencing Review Board</t>
  </si>
  <si>
    <t>LGBTQ Commission</t>
  </si>
  <si>
    <t>Office of Equity</t>
  </si>
  <si>
    <t>Office of Family &amp; Children's Ombuds</t>
  </si>
  <si>
    <t>Office of Regulatory Innovation &amp; Assistance</t>
  </si>
  <si>
    <t>Results Washington</t>
  </si>
  <si>
    <t xml:space="preserve">WASHINGTON STATE EXECUTIVE &amp; SMALL CABINET AGENCY                                     CERTIFIED VETERAN-OWNED BUSINESS  SPEND REPORT                                              FY24 - Annual Report                                                                    </t>
  </si>
  <si>
    <t>FY24 - 3rd QUARTER VOB SPEND BREAKDOWN</t>
  </si>
  <si>
    <t>FY24 - 4th QUARTER VOB SPEND BREAKDOWN</t>
  </si>
  <si>
    <t>FY24 YEAR-TO-DATE (YTD) VOB SPEND BREAKDOWN</t>
  </si>
  <si>
    <t>1st Qtr FY24  Total Spend PW</t>
  </si>
  <si>
    <t>1st Qtr FY24 Pcard Spend PW</t>
  </si>
  <si>
    <t xml:space="preserve"> 1st Qtr FY24 Total Spend</t>
  </si>
  <si>
    <t># of VOBs</t>
  </si>
  <si>
    <t>Veteran Spend PW</t>
  </si>
  <si>
    <t>Pcard Spend PW</t>
  </si>
  <si>
    <t>1st Qtr FY24 VOB
 Spend %</t>
  </si>
  <si>
    <t>3rd Qtr FY24  Total Spend PW</t>
  </si>
  <si>
    <t>3rd Qtr FY24 VOB
 Spend %</t>
  </si>
  <si>
    <t>4th Qtr FY24  Total Spend PW</t>
  </si>
  <si>
    <t>PCard Spend PW</t>
  </si>
  <si>
    <t>4th Qtr FY24 VOB
 Spend %</t>
  </si>
  <si>
    <t>FY24 YTD Total Spend PW</t>
  </si>
  <si>
    <t>FY24 Total PCard Spend PW</t>
  </si>
  <si>
    <t>FY24 Total VOB Spend</t>
  </si>
  <si>
    <t>FY24 VOB Spend %</t>
  </si>
  <si>
    <t>FY 24 Goal Met? Y/N</t>
  </si>
  <si>
    <t>FY25 Agency Goals</t>
  </si>
  <si>
    <t>Administrative Office of the Courts</t>
  </si>
  <si>
    <t>N</t>
  </si>
  <si>
    <t>Arts Commission</t>
  </si>
  <si>
    <t>Board of Accountancy</t>
  </si>
  <si>
    <t>Board of Tax Appeals</t>
  </si>
  <si>
    <t xml:space="preserve">Center for Childhood Deafness &amp; Hearing Loss </t>
  </si>
  <si>
    <t>Commission on African American Affairs</t>
  </si>
  <si>
    <t>Commission on Asian Pacific American Affairs</t>
  </si>
  <si>
    <t>Consolidated Technology Services (WaTech)</t>
  </si>
  <si>
    <t>Department of Agriculture</t>
  </si>
  <si>
    <t>Department of Children, Youth and Families</t>
  </si>
  <si>
    <t>Department of Commerce</t>
  </si>
  <si>
    <t>Y</t>
  </si>
  <si>
    <t>Department of Licensing</t>
  </si>
  <si>
    <t>Department of Services for the Blind</t>
  </si>
  <si>
    <t>Department of Transportation</t>
  </si>
  <si>
    <t>Energy Facility Site Evaluation Council</t>
  </si>
  <si>
    <t>Environmental and Land Use Hearings Office</t>
  </si>
  <si>
    <t>Governor's Office of Indian Affairs</t>
  </si>
  <si>
    <t>Office of Financial Management</t>
  </si>
  <si>
    <t>Office of Governor</t>
  </si>
  <si>
    <t>Office of Independent Investigations</t>
  </si>
  <si>
    <t>Office of Minority &amp; Women's Business Enterprises</t>
  </si>
  <si>
    <t>Recreation and Conservation Office</t>
  </si>
  <si>
    <t>Utilities and Transportation Commission</t>
  </si>
  <si>
    <t>Washington State Historical Society</t>
  </si>
  <si>
    <t>Washington Student Achievement Council</t>
  </si>
  <si>
    <t>Workforce Training and Education Coordinating Board</t>
  </si>
  <si>
    <t>TOTALS</t>
  </si>
  <si>
    <t>Totals</t>
  </si>
  <si>
    <t>Comments</t>
  </si>
  <si>
    <t>FY24 Total Spend                                                                  (PW &amp; P-Card)</t>
  </si>
  <si>
    <t>FY24 VOB Spend Comparison to FY21-23 Avg.</t>
  </si>
  <si>
    <t>$27,567,874 (difference)</t>
  </si>
  <si>
    <t>152% increase from FY24 compared to FY21-23</t>
  </si>
  <si>
    <t>FY24 Total VOB Spend %</t>
  </si>
  <si>
    <t>represents a 70% increase FY21-23 - FY24</t>
  </si>
  <si>
    <t>FY24 Total # VOB Vendors Utilized</t>
  </si>
  <si>
    <t>FY24 % Agencies Met VOB Spend Goals</t>
  </si>
  <si>
    <t xml:space="preserve">21.8%                                                                               (12/55)      </t>
  </si>
  <si>
    <t xml:space="preserve">FY21-23 Total Spend </t>
  </si>
  <si>
    <t>FY-23 Total VOB Spend</t>
  </si>
  <si>
    <t>FY21-23 Total VOB Spend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</si>
</sst>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quot;$&quot;#,##0.00"/>
  </numFmts>
  <fonts count="8">
    <font>
      <sz val="11"/>
      <color theme="1"/>
      <name val="Calibri"/>
      <family val="2"/>
      <scheme val="minor"/>
    </font>
    <font>
      <sz val="11"/>
      <color theme="1"/>
      <name val="Calibri"/>
      <family val="2"/>
      <scheme val="minor"/>
    </font>
    <font>
      <b/>
      <sz val="11"/>
      <color theme="1"/>
      <name val="Calibri"/>
      <family val="2"/>
      <scheme val="minor"/>
    </font>
    <font>
      <sz val="11"/>
      <color theme="1" tint="-0.24994659260841701"/>
      <name val="Calibri"/>
      <family val="2"/>
      <scheme val="minor"/>
    </font>
    <font>
      <b/>
      <sz val="11"/>
      <color theme="1" tint="-0.24994659260841701"/>
      <name val="Calibri"/>
      <family val="2"/>
      <scheme val="minor"/>
    </font>
    <font>
      <sz val="8"/>
      <name val="Calibri"/>
      <family val="2"/>
      <scheme val="minor"/>
    </font>
    <font>
      <b/>
      <u/>
      <sz val="11"/>
      <color theme="1"/>
      <name val="Calibri"/>
      <family val="2"/>
      <scheme val="minor"/>
    </font>
    <font>
      <b/>
      <sz val="11"/>
      <color rgb="FF000000"/>
      <name val="Calibri"/>
      <scheme val="minor"/>
    </font>
  </fonts>
  <fills count="9">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style="thin">
        <color indexed="64"/>
      </right>
      <top/>
      <bottom style="thin">
        <color rgb="FF000000"/>
      </bottom>
      <diagonal/>
    </border>
  </borders>
  <cellStyleXfs count="5">
    <xf numFmtId="0" fontId="0" fillId="0" borderId="0"/>
    <xf numFmtId="9" fontId="1" fillId="0" borderId="0" applyFont="0" applyFill="0" applyBorder="0" applyAlignment="0" applyProtection="0"/>
    <xf numFmtId="0" fontId="3" fillId="0" borderId="0">
      <alignment vertical="center" wrapText="1"/>
    </xf>
    <xf numFmtId="44" fontId="3" fillId="0" borderId="0" applyFont="0" applyFill="0" applyBorder="0" applyAlignment="0" applyProtection="0"/>
    <xf numFmtId="43" fontId="1" fillId="0" borderId="0" applyFont="0" applyFill="0" applyBorder="0" applyAlignment="0" applyProtection="0"/>
  </cellStyleXfs>
  <cellXfs count="162">
    <xf numFmtId="0" fontId="0" fillId="0" borderId="0" xfId="0"/>
    <xf numFmtId="0" fontId="4" fillId="0" borderId="1" xfId="2" applyFont="1" applyBorder="1">
      <alignment vertical="center" wrapText="1"/>
    </xf>
    <xf numFmtId="164" fontId="3" fillId="0" borderId="1" xfId="3" applyNumberFormat="1" applyFont="1" applyBorder="1" applyAlignment="1">
      <alignment vertical="center" wrapText="1"/>
    </xf>
    <xf numFmtId="164" fontId="3" fillId="0" borderId="1" xfId="2" applyNumberFormat="1" applyBorder="1">
      <alignment vertical="center" wrapText="1"/>
    </xf>
    <xf numFmtId="165" fontId="3" fillId="0" borderId="1" xfId="1" applyNumberFormat="1" applyFont="1" applyBorder="1" applyAlignment="1">
      <alignmen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xf>
    <xf numFmtId="0" fontId="4" fillId="0" borderId="1" xfId="2" applyFont="1" applyBorder="1" applyAlignment="1">
      <alignment horizontal="center" vertical="center" wrapText="1"/>
    </xf>
    <xf numFmtId="164" fontId="3" fillId="4" borderId="1" xfId="2" applyNumberFormat="1" applyFill="1" applyBorder="1">
      <alignment vertical="center" wrapText="1"/>
    </xf>
    <xf numFmtId="164" fontId="3" fillId="4" borderId="1" xfId="3" applyNumberFormat="1" applyFont="1" applyFill="1" applyBorder="1" applyAlignment="1">
      <alignment vertical="center" wrapText="1"/>
    </xf>
    <xf numFmtId="9" fontId="0" fillId="3" borderId="1" xfId="0" applyNumberFormat="1" applyFill="1" applyBorder="1" applyAlignment="1">
      <alignment horizontal="center" vertical="center"/>
    </xf>
    <xf numFmtId="49" fontId="2" fillId="0" borderId="4" xfId="0" applyNumberFormat="1" applyFont="1" applyBorder="1" applyAlignment="1">
      <alignment horizontal="center"/>
    </xf>
    <xf numFmtId="165" fontId="3" fillId="0" borderId="4" xfId="1" applyNumberFormat="1" applyFont="1" applyBorder="1" applyAlignment="1">
      <alignment vertical="center" wrapText="1"/>
    </xf>
    <xf numFmtId="9" fontId="0" fillId="3" borderId="4" xfId="0" applyNumberFormat="1" applyFill="1" applyBorder="1" applyAlignment="1">
      <alignment horizontal="center" vertical="center"/>
    </xf>
    <xf numFmtId="0" fontId="0" fillId="0" borderId="1" xfId="0" applyBorder="1"/>
    <xf numFmtId="10" fontId="0" fillId="0" borderId="0" xfId="0" applyNumberFormat="1" applyAlignment="1">
      <alignment vertical="center"/>
    </xf>
    <xf numFmtId="165" fontId="0" fillId="3" borderId="1" xfId="0" applyNumberFormat="1" applyFill="1" applyBorder="1" applyAlignment="1">
      <alignment horizontal="center" vertical="center"/>
    </xf>
    <xf numFmtId="0" fontId="2" fillId="0" borderId="1" xfId="0" applyFont="1" applyBorder="1" applyAlignment="1">
      <alignment horizontal="center"/>
    </xf>
    <xf numFmtId="0" fontId="4" fillId="0" borderId="0" xfId="2" applyFont="1" applyAlignment="1">
      <alignment horizontal="right" vertical="center" wrapText="1"/>
    </xf>
    <xf numFmtId="164" fontId="3" fillId="0" borderId="4" xfId="3" applyNumberFormat="1" applyFont="1" applyBorder="1" applyAlignment="1">
      <alignment vertical="center" wrapText="1"/>
    </xf>
    <xf numFmtId="164" fontId="3" fillId="0" borderId="4" xfId="2" applyNumberFormat="1" applyBorder="1">
      <alignment vertical="center" wrapText="1"/>
    </xf>
    <xf numFmtId="165" fontId="0" fillId="3" borderId="4" xfId="0" applyNumberFormat="1" applyFill="1" applyBorder="1" applyAlignment="1">
      <alignment horizontal="center" vertical="center"/>
    </xf>
    <xf numFmtId="10" fontId="0" fillId="3" borderId="1" xfId="0" applyNumberFormat="1" applyFill="1" applyBorder="1" applyAlignment="1">
      <alignment horizontal="center" vertical="center"/>
    </xf>
    <xf numFmtId="0" fontId="4" fillId="0" borderId="4" xfId="2" applyFont="1" applyBorder="1">
      <alignment vertical="center" wrapText="1"/>
    </xf>
    <xf numFmtId="1" fontId="3" fillId="0" borderId="1" xfId="2" applyNumberFormat="1" applyBorder="1" applyAlignment="1">
      <alignment horizontal="center" vertical="center" wrapText="1"/>
    </xf>
    <xf numFmtId="1" fontId="3" fillId="4" borderId="1" xfId="2" applyNumberFormat="1" applyFill="1" applyBorder="1" applyAlignment="1">
      <alignment horizontal="center" vertical="center" wrapText="1"/>
    </xf>
    <xf numFmtId="1" fontId="3" fillId="4" borderId="1" xfId="3" applyNumberFormat="1" applyFont="1" applyFill="1" applyBorder="1" applyAlignment="1">
      <alignment horizontal="center" vertical="center" wrapText="1"/>
    </xf>
    <xf numFmtId="1" fontId="0" fillId="0" borderId="1" xfId="0" applyNumberFormat="1" applyBorder="1" applyAlignment="1">
      <alignment horizontal="center"/>
    </xf>
    <xf numFmtId="1" fontId="3" fillId="0" borderId="4" xfId="2" applyNumberFormat="1" applyBorder="1" applyAlignment="1">
      <alignment horizontal="center" vertical="center" wrapText="1"/>
    </xf>
    <xf numFmtId="1" fontId="0" fillId="0" borderId="1" xfId="0" applyNumberFormat="1" applyBorder="1" applyAlignment="1">
      <alignment horizontal="center" vertical="center"/>
    </xf>
    <xf numFmtId="0" fontId="0" fillId="5" borderId="0" xfId="0" applyFill="1"/>
    <xf numFmtId="0" fontId="2" fillId="0" borderId="0" xfId="0" applyFont="1"/>
    <xf numFmtId="1" fontId="3" fillId="0" borderId="7" xfId="2" applyNumberFormat="1" applyBorder="1" applyAlignment="1">
      <alignment horizontal="center" vertical="center" wrapText="1"/>
    </xf>
    <xf numFmtId="0" fontId="0" fillId="5" borderId="1" xfId="0" applyFill="1" applyBorder="1"/>
    <xf numFmtId="0" fontId="4" fillId="5" borderId="1" xfId="2" applyFont="1" applyFill="1" applyBorder="1" applyAlignment="1">
      <alignment horizontal="center" vertical="center" wrapText="1"/>
    </xf>
    <xf numFmtId="0" fontId="4" fillId="0" borderId="5" xfId="2" applyFont="1" applyBorder="1" applyAlignment="1">
      <alignment horizontal="center" vertical="center" wrapText="1"/>
    </xf>
    <xf numFmtId="0" fontId="4" fillId="5" borderId="6" xfId="2" applyFont="1" applyFill="1" applyBorder="1" applyAlignment="1">
      <alignment horizontal="center" vertical="center" wrapText="1"/>
    </xf>
    <xf numFmtId="0" fontId="2" fillId="6" borderId="1" xfId="0" applyFont="1" applyFill="1" applyBorder="1" applyAlignment="1">
      <alignment horizontal="center" vertical="center" wrapText="1"/>
    </xf>
    <xf numFmtId="10" fontId="0" fillId="6" borderId="12" xfId="0" applyNumberFormat="1" applyFill="1" applyBorder="1"/>
    <xf numFmtId="166" fontId="3" fillId="0" borderId="7" xfId="3" applyNumberFormat="1" applyFont="1" applyBorder="1" applyAlignment="1">
      <alignment vertical="center" wrapText="1"/>
    </xf>
    <xf numFmtId="166" fontId="3" fillId="0" borderId="1" xfId="3" applyNumberFormat="1" applyFont="1" applyBorder="1" applyAlignment="1">
      <alignment vertical="center" wrapText="1"/>
    </xf>
    <xf numFmtId="166" fontId="3" fillId="4" borderId="1" xfId="3" applyNumberFormat="1" applyFont="1" applyFill="1" applyBorder="1" applyAlignment="1">
      <alignment vertical="center" wrapText="1"/>
    </xf>
    <xf numFmtId="166" fontId="0" fillId="0" borderId="1" xfId="0" applyNumberFormat="1" applyBorder="1" applyAlignment="1">
      <alignment horizontal="right" vertical="center"/>
    </xf>
    <xf numFmtId="166" fontId="0" fillId="0" borderId="1" xfId="0" applyNumberFormat="1" applyBorder="1" applyAlignment="1">
      <alignment vertical="center"/>
    </xf>
    <xf numFmtId="166" fontId="3" fillId="0" borderId="4" xfId="3" applyNumberFormat="1" applyFont="1" applyBorder="1" applyAlignment="1">
      <alignment vertical="center" wrapText="1"/>
    </xf>
    <xf numFmtId="166" fontId="0" fillId="0" borderId="1" xfId="0" applyNumberFormat="1" applyBorder="1"/>
    <xf numFmtId="166" fontId="3" fillId="0" borderId="7" xfId="2" applyNumberFormat="1" applyBorder="1">
      <alignment vertical="center" wrapText="1"/>
    </xf>
    <xf numFmtId="166" fontId="3" fillId="0" borderId="1" xfId="2" applyNumberFormat="1" applyBorder="1">
      <alignment vertical="center" wrapText="1"/>
    </xf>
    <xf numFmtId="166" fontId="3" fillId="4" borderId="1" xfId="2" applyNumberFormat="1" applyFill="1" applyBorder="1">
      <alignment vertical="center" wrapText="1"/>
    </xf>
    <xf numFmtId="166" fontId="3" fillId="0" borderId="4" xfId="2" applyNumberFormat="1" applyBorder="1">
      <alignment vertical="center" wrapText="1"/>
    </xf>
    <xf numFmtId="0" fontId="2" fillId="6" borderId="6" xfId="0" applyFont="1" applyFill="1" applyBorder="1" applyAlignment="1">
      <alignment horizontal="center" vertical="center" wrapText="1"/>
    </xf>
    <xf numFmtId="166" fontId="0" fillId="0" borderId="12" xfId="0" applyNumberFormat="1" applyBorder="1"/>
    <xf numFmtId="166" fontId="0" fillId="0" borderId="6" xfId="0" applyNumberFormat="1" applyBorder="1"/>
    <xf numFmtId="166" fontId="0" fillId="0" borderId="6" xfId="0" applyNumberFormat="1" applyBorder="1" applyAlignment="1">
      <alignment vertical="center"/>
    </xf>
    <xf numFmtId="0" fontId="4" fillId="5" borderId="5" xfId="2" applyFont="1" applyFill="1" applyBorder="1" applyAlignment="1">
      <alignment horizontal="center" vertical="center" wrapText="1"/>
    </xf>
    <xf numFmtId="10" fontId="3" fillId="5" borderId="11" xfId="1" applyNumberFormat="1" applyFont="1" applyFill="1" applyBorder="1" applyAlignment="1">
      <alignment vertical="center" wrapText="1"/>
    </xf>
    <xf numFmtId="10" fontId="3" fillId="5" borderId="5" xfId="1" applyNumberFormat="1" applyFont="1" applyFill="1" applyBorder="1" applyAlignment="1">
      <alignment vertical="center" wrapText="1"/>
    </xf>
    <xf numFmtId="10" fontId="3" fillId="5" borderId="5" xfId="1" applyNumberFormat="1" applyFont="1" applyFill="1" applyBorder="1" applyAlignment="1">
      <alignment horizontal="right" vertical="center" wrapText="1"/>
    </xf>
    <xf numFmtId="10" fontId="3" fillId="0" borderId="11" xfId="1" applyNumberFormat="1" applyFont="1" applyBorder="1" applyAlignment="1">
      <alignment vertical="center" wrapText="1"/>
    </xf>
    <xf numFmtId="165" fontId="3" fillId="0" borderId="5" xfId="1" applyNumberFormat="1" applyFont="1" applyBorder="1" applyAlignment="1">
      <alignment vertical="center" wrapText="1"/>
    </xf>
    <xf numFmtId="10" fontId="3" fillId="0" borderId="5" xfId="1" applyNumberFormat="1" applyFont="1" applyBorder="1" applyAlignment="1">
      <alignment vertical="center" wrapText="1"/>
    </xf>
    <xf numFmtId="166" fontId="3" fillId="0" borderId="12" xfId="3" applyNumberFormat="1" applyFont="1" applyBorder="1" applyAlignment="1">
      <alignment vertical="center" wrapText="1"/>
    </xf>
    <xf numFmtId="166" fontId="3" fillId="0" borderId="6" xfId="3" applyNumberFormat="1" applyFont="1" applyBorder="1" applyAlignment="1">
      <alignment vertical="center" wrapText="1"/>
    </xf>
    <xf numFmtId="166" fontId="3" fillId="4" borderId="6" xfId="3" applyNumberFormat="1" applyFont="1" applyFill="1" applyBorder="1" applyAlignment="1">
      <alignment vertical="center" wrapText="1"/>
    </xf>
    <xf numFmtId="166" fontId="0" fillId="0" borderId="6" xfId="0" applyNumberFormat="1" applyBorder="1" applyAlignment="1">
      <alignment horizontal="right" vertical="center"/>
    </xf>
    <xf numFmtId="166" fontId="3" fillId="0" borderId="9" xfId="3" applyNumberFormat="1" applyFont="1" applyBorder="1" applyAlignment="1">
      <alignment vertical="center" wrapText="1"/>
    </xf>
    <xf numFmtId="0" fontId="0" fillId="5" borderId="14" xfId="0" applyFill="1" applyBorder="1"/>
    <xf numFmtId="0" fontId="0" fillId="5" borderId="7" xfId="0" applyFill="1" applyBorder="1"/>
    <xf numFmtId="166" fontId="3" fillId="0" borderId="1" xfId="3" applyNumberFormat="1" applyFont="1" applyFill="1" applyBorder="1" applyAlignment="1">
      <alignment vertical="center" wrapText="1"/>
    </xf>
    <xf numFmtId="10" fontId="3" fillId="0" borderId="5" xfId="1" applyNumberFormat="1" applyFont="1" applyFill="1" applyBorder="1" applyAlignment="1">
      <alignment vertical="center" wrapText="1"/>
    </xf>
    <xf numFmtId="166" fontId="3" fillId="0" borderId="6" xfId="3" applyNumberFormat="1" applyFont="1" applyFill="1" applyBorder="1" applyAlignment="1">
      <alignment vertical="center" wrapText="1"/>
    </xf>
    <xf numFmtId="0" fontId="4" fillId="0" borderId="0" xfId="2" applyFont="1">
      <alignment vertical="center" wrapText="1"/>
    </xf>
    <xf numFmtId="165" fontId="3" fillId="5" borderId="5" xfId="1" applyNumberFormat="1" applyFont="1" applyFill="1" applyBorder="1" applyAlignment="1">
      <alignment vertical="center" wrapText="1"/>
    </xf>
    <xf numFmtId="9" fontId="0" fillId="3" borderId="11" xfId="0" applyNumberFormat="1" applyFill="1" applyBorder="1" applyAlignment="1">
      <alignment horizontal="center" vertical="center"/>
    </xf>
    <xf numFmtId="165" fontId="0" fillId="3" borderId="5" xfId="0" applyNumberFormat="1" applyFill="1" applyBorder="1" applyAlignment="1">
      <alignment horizontal="center" vertical="center"/>
    </xf>
    <xf numFmtId="9" fontId="0" fillId="3" borderId="5" xfId="0" applyNumberFormat="1" applyFill="1" applyBorder="1" applyAlignment="1">
      <alignment horizontal="center" vertical="center"/>
    </xf>
    <xf numFmtId="10" fontId="0" fillId="3" borderId="5" xfId="0" applyNumberFormat="1" applyFill="1" applyBorder="1" applyAlignment="1">
      <alignment horizontal="center" vertical="center"/>
    </xf>
    <xf numFmtId="165" fontId="0" fillId="3" borderId="8" xfId="0" applyNumberFormat="1" applyFill="1" applyBorder="1" applyAlignment="1">
      <alignment horizontal="center" vertical="center"/>
    </xf>
    <xf numFmtId="9" fontId="0" fillId="3" borderId="8" xfId="0" applyNumberFormat="1" applyFill="1" applyBorder="1" applyAlignment="1">
      <alignment horizontal="center" vertical="center"/>
    </xf>
    <xf numFmtId="0" fontId="2" fillId="2" borderId="4" xfId="0" applyFont="1" applyFill="1" applyBorder="1" applyAlignment="1">
      <alignment horizontal="center" vertical="center" wrapText="1"/>
    </xf>
    <xf numFmtId="0" fontId="0" fillId="3" borderId="16" xfId="0" applyFill="1" applyBorder="1" applyAlignment="1">
      <alignment horizontal="center"/>
    </xf>
    <xf numFmtId="10" fontId="0" fillId="3" borderId="15" xfId="0" applyNumberFormat="1" applyFill="1" applyBorder="1" applyAlignment="1">
      <alignment horizontal="center" vertical="center"/>
    </xf>
    <xf numFmtId="10" fontId="0" fillId="0" borderId="0" xfId="0" applyNumberFormat="1"/>
    <xf numFmtId="10" fontId="2" fillId="0" borderId="1" xfId="0" applyNumberFormat="1" applyFont="1" applyFill="1" applyBorder="1" applyAlignment="1">
      <alignment horizontal="center" wrapText="1"/>
    </xf>
    <xf numFmtId="10" fontId="0" fillId="3" borderId="17" xfId="0" applyNumberFormat="1" applyFill="1" applyBorder="1" applyAlignment="1">
      <alignment horizontal="center" vertical="center"/>
    </xf>
    <xf numFmtId="10" fontId="2" fillId="0" borderId="1" xfId="0" applyNumberFormat="1" applyFont="1" applyBorder="1" applyAlignment="1">
      <alignment horizontal="center"/>
    </xf>
    <xf numFmtId="10" fontId="2" fillId="0" borderId="1" xfId="0" applyNumberFormat="1" applyFont="1" applyBorder="1" applyAlignment="1">
      <alignment horizontal="center" wrapText="1"/>
    </xf>
    <xf numFmtId="0" fontId="2" fillId="7" borderId="1" xfId="0" applyFont="1" applyFill="1" applyBorder="1" applyAlignment="1">
      <alignment horizontal="center" vertical="center"/>
    </xf>
    <xf numFmtId="0" fontId="4" fillId="7" borderId="1" xfId="2" applyFont="1" applyFill="1" applyBorder="1">
      <alignment vertical="center" wrapText="1"/>
    </xf>
    <xf numFmtId="49" fontId="2" fillId="8" borderId="7" xfId="0" applyNumberFormat="1" applyFont="1" applyFill="1" applyBorder="1" applyAlignment="1">
      <alignment horizontal="center"/>
    </xf>
    <xf numFmtId="0" fontId="4" fillId="8" borderId="7" xfId="2" applyFont="1" applyFill="1" applyBorder="1">
      <alignment vertical="center" wrapText="1"/>
    </xf>
    <xf numFmtId="49" fontId="2" fillId="8" borderId="1" xfId="0" applyNumberFormat="1" applyFont="1" applyFill="1" applyBorder="1" applyAlignment="1">
      <alignment horizontal="center"/>
    </xf>
    <xf numFmtId="0" fontId="4" fillId="8" borderId="1" xfId="2" applyFont="1" applyFill="1" applyBorder="1">
      <alignment vertical="center" wrapText="1"/>
    </xf>
    <xf numFmtId="49" fontId="2" fillId="8" borderId="4" xfId="0" applyNumberFormat="1" applyFont="1" applyFill="1" applyBorder="1" applyAlignment="1">
      <alignment horizontal="center"/>
    </xf>
    <xf numFmtId="0" fontId="4" fillId="8" borderId="4" xfId="2" applyFont="1" applyFill="1" applyBorder="1">
      <alignment vertical="center" wrapText="1"/>
    </xf>
    <xf numFmtId="49" fontId="2" fillId="8" borderId="1" xfId="0" applyNumberFormat="1" applyFont="1" applyFill="1" applyBorder="1" applyAlignment="1">
      <alignment horizontal="center" vertical="center"/>
    </xf>
    <xf numFmtId="0" fontId="4" fillId="8" borderId="1" xfId="2" applyFont="1" applyFill="1" applyBorder="1" applyAlignment="1">
      <alignment vertical="center"/>
    </xf>
    <xf numFmtId="0" fontId="0" fillId="3" borderId="18" xfId="0" applyFill="1" applyBorder="1" applyAlignment="1">
      <alignment horizontal="center"/>
    </xf>
    <xf numFmtId="10" fontId="0" fillId="3" borderId="19" xfId="0" applyNumberFormat="1" applyFill="1" applyBorder="1" applyAlignment="1">
      <alignment horizontal="center" vertical="center"/>
    </xf>
    <xf numFmtId="1" fontId="0" fillId="0" borderId="12" xfId="0" applyNumberFormat="1" applyBorder="1" applyAlignment="1">
      <alignment horizontal="center"/>
    </xf>
    <xf numFmtId="166" fontId="0" fillId="0" borderId="20" xfId="0" applyNumberFormat="1" applyBorder="1"/>
    <xf numFmtId="166" fontId="0" fillId="0" borderId="9" xfId="0" applyNumberFormat="1" applyBorder="1" applyAlignment="1">
      <alignment vertical="center"/>
    </xf>
    <xf numFmtId="1" fontId="0" fillId="0" borderId="20" xfId="0" applyNumberFormat="1" applyBorder="1" applyAlignment="1">
      <alignment horizontal="center" vertical="center"/>
    </xf>
    <xf numFmtId="10" fontId="0" fillId="6" borderId="20" xfId="0" applyNumberFormat="1" applyFill="1" applyBorder="1"/>
    <xf numFmtId="0" fontId="0" fillId="0" borderId="15" xfId="0" applyBorder="1"/>
    <xf numFmtId="10" fontId="2" fillId="0" borderId="15" xfId="0" applyNumberFormat="1" applyFont="1" applyBorder="1" applyAlignment="1">
      <alignment horizontal="center"/>
    </xf>
    <xf numFmtId="10" fontId="2" fillId="0" borderId="15" xfId="0" applyNumberFormat="1" applyFont="1" applyFill="1" applyBorder="1" applyAlignment="1">
      <alignment horizontal="center"/>
    </xf>
    <xf numFmtId="166" fontId="0" fillId="0" borderId="5" xfId="0" applyNumberFormat="1" applyBorder="1" applyAlignment="1">
      <alignment horizontal="center" vertical="center"/>
    </xf>
    <xf numFmtId="10" fontId="0" fillId="0" borderId="5" xfId="0" applyNumberFormat="1" applyBorder="1" applyAlignment="1">
      <alignment horizontal="center" wrapText="1"/>
    </xf>
    <xf numFmtId="1" fontId="0" fillId="0" borderId="5" xfId="0" applyNumberFormat="1" applyBorder="1" applyAlignment="1">
      <alignment horizontal="center" vertical="center"/>
    </xf>
    <xf numFmtId="164" fontId="0" fillId="0" borderId="16" xfId="0" applyNumberFormat="1" applyBorder="1" applyAlignment="1">
      <alignment horizontal="center" vertical="center" indent="1"/>
    </xf>
    <xf numFmtId="167" fontId="0" fillId="0" borderId="16" xfId="0" applyNumberFormat="1" applyBorder="1" applyAlignment="1">
      <alignment horizontal="center"/>
    </xf>
    <xf numFmtId="0" fontId="6" fillId="0" borderId="15" xfId="0" applyFont="1" applyBorder="1" applyAlignment="1">
      <alignment horizontal="center"/>
    </xf>
    <xf numFmtId="166" fontId="3" fillId="4" borderId="9" xfId="3" applyNumberFormat="1" applyFont="1" applyFill="1" applyBorder="1" applyAlignment="1">
      <alignment vertical="center" wrapText="1"/>
    </xf>
    <xf numFmtId="1" fontId="3" fillId="4" borderId="4" xfId="2" applyNumberFormat="1" applyFill="1" applyBorder="1" applyAlignment="1">
      <alignment horizontal="center" vertical="center" wrapText="1"/>
    </xf>
    <xf numFmtId="166" fontId="3" fillId="4" borderId="4" xfId="2" applyNumberFormat="1" applyFill="1" applyBorder="1">
      <alignment vertical="center" wrapText="1"/>
    </xf>
    <xf numFmtId="10" fontId="3" fillId="5" borderId="10" xfId="1" applyNumberFormat="1" applyFont="1" applyFill="1" applyBorder="1" applyAlignment="1">
      <alignment vertical="center" wrapText="1"/>
    </xf>
    <xf numFmtId="166" fontId="2" fillId="5" borderId="15" xfId="0" applyNumberFormat="1" applyFont="1" applyFill="1" applyBorder="1" applyAlignment="1">
      <alignment horizontal="center"/>
    </xf>
    <xf numFmtId="1" fontId="2" fillId="5" borderId="15" xfId="0" applyNumberFormat="1" applyFont="1" applyFill="1" applyBorder="1" applyAlignment="1">
      <alignment horizontal="center"/>
    </xf>
    <xf numFmtId="10" fontId="2" fillId="5" borderId="15" xfId="0" applyNumberFormat="1" applyFont="1" applyFill="1" applyBorder="1" applyAlignment="1">
      <alignment horizontal="center"/>
    </xf>
    <xf numFmtId="0" fontId="2" fillId="5" borderId="16" xfId="0" applyFont="1" applyFill="1" applyBorder="1" applyAlignment="1">
      <alignment horizontal="center"/>
    </xf>
    <xf numFmtId="0" fontId="4" fillId="6" borderId="1" xfId="2" applyFont="1" applyFill="1" applyBorder="1" applyAlignment="1">
      <alignment vertical="center" wrapText="1"/>
    </xf>
    <xf numFmtId="0" fontId="7" fillId="6" borderId="16" xfId="2" applyFont="1" applyFill="1" applyBorder="1" applyAlignment="1">
      <alignment horizontal="center" vertical="center" wrapText="1"/>
    </xf>
    <xf numFmtId="166" fontId="2" fillId="6" borderId="15" xfId="0" applyNumberFormat="1" applyFont="1" applyFill="1" applyBorder="1" applyAlignment="1">
      <alignment horizontal="center"/>
    </xf>
    <xf numFmtId="1" fontId="2" fillId="6" borderId="15" xfId="0" applyNumberFormat="1" applyFont="1" applyFill="1" applyBorder="1" applyAlignment="1">
      <alignment horizontal="center"/>
    </xf>
    <xf numFmtId="10" fontId="2" fillId="6" borderId="15" xfId="0" applyNumberFormat="1" applyFont="1" applyFill="1" applyBorder="1" applyAlignment="1">
      <alignment horizontal="center" vertical="center"/>
    </xf>
    <xf numFmtId="166" fontId="0" fillId="0" borderId="5" xfId="0" applyNumberFormat="1" applyFill="1" applyBorder="1" applyAlignment="1">
      <alignment horizontal="center"/>
    </xf>
    <xf numFmtId="165" fontId="0" fillId="0" borderId="5" xfId="0" applyNumberFormat="1" applyFill="1" applyBorder="1" applyAlignment="1">
      <alignment horizontal="center" vertical="center" wrapText="1"/>
    </xf>
    <xf numFmtId="10" fontId="0" fillId="0" borderId="16" xfId="0" applyNumberFormat="1" applyFill="1" applyBorder="1" applyAlignment="1">
      <alignment horizontal="center" indent="1"/>
    </xf>
    <xf numFmtId="0" fontId="2" fillId="8" borderId="1" xfId="0" applyFont="1" applyFill="1" applyBorder="1" applyAlignment="1">
      <alignment horizontal="center"/>
    </xf>
    <xf numFmtId="0" fontId="0" fillId="0" borderId="0" xfId="0" applyAlignment="1">
      <alignment wrapText="1"/>
    </xf>
    <xf numFmtId="0" fontId="2" fillId="0" borderId="2" xfId="0" applyFont="1" applyBorder="1" applyAlignment="1">
      <alignment horizontal="center"/>
    </xf>
    <xf numFmtId="0" fontId="0" fillId="0" borderId="2" xfId="0"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horizontal="center"/>
    </xf>
    <xf numFmtId="0" fontId="4" fillId="0" borderId="0" xfId="2" applyFont="1" applyAlignment="1">
      <alignment vertical="center" wrapText="1"/>
    </xf>
    <xf numFmtId="0" fontId="0" fillId="0" borderId="0" xfId="0" applyAlignment="1">
      <alignment wrapText="1"/>
    </xf>
    <xf numFmtId="0" fontId="2" fillId="0" borderId="2" xfId="0" applyFont="1" applyBorder="1" applyAlignment="1">
      <alignment horizontal="center"/>
    </xf>
    <xf numFmtId="0" fontId="0" fillId="0" borderId="2" xfId="0" applyBorder="1" applyAlignment="1">
      <alignment horizontal="center"/>
    </xf>
    <xf numFmtId="0" fontId="2" fillId="0" borderId="3" xfId="0" applyFont="1" applyBorder="1" applyAlignment="1">
      <alignment horizontal="center"/>
    </xf>
    <xf numFmtId="0" fontId="0" fillId="0" borderId="3" xfId="0"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xf>
    <xf numFmtId="0" fontId="2" fillId="6" borderId="8"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2" xfId="0" applyFont="1" applyFill="1" applyBorder="1" applyAlignment="1">
      <alignment horizontal="center" vertical="center"/>
    </xf>
    <xf numFmtId="43" fontId="4" fillId="5" borderId="1" xfId="4" applyFont="1" applyFill="1" applyBorder="1" applyAlignment="1">
      <alignment horizontal="center" vertical="center" wrapText="1"/>
    </xf>
    <xf numFmtId="43" fontId="4" fillId="5" borderId="5" xfId="4"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2" xfId="0" applyFont="1" applyFill="1" applyBorder="1" applyAlignment="1">
      <alignment horizontal="center" vertical="center"/>
    </xf>
    <xf numFmtId="43" fontId="4" fillId="5" borderId="3" xfId="4" applyFont="1" applyFill="1" applyBorder="1" applyAlignment="1">
      <alignment horizontal="center" vertical="center" wrapText="1"/>
    </xf>
    <xf numFmtId="0" fontId="0" fillId="2" borderId="3" xfId="0" applyFill="1" applyBorder="1" applyAlignment="1">
      <alignment horizontal="center"/>
    </xf>
    <xf numFmtId="0" fontId="0" fillId="2" borderId="6" xfId="0" applyFill="1" applyBorder="1" applyAlignment="1">
      <alignment horizontal="center"/>
    </xf>
    <xf numFmtId="0" fontId="4" fillId="6" borderId="4" xfId="2" applyFont="1" applyFill="1" applyBorder="1" applyAlignment="1">
      <alignment horizontal="center" vertical="center" wrapText="1"/>
    </xf>
    <xf numFmtId="0" fontId="4" fillId="6" borderId="14" xfId="2" applyFont="1" applyFill="1" applyBorder="1" applyAlignment="1">
      <alignment horizontal="center" vertical="center" wrapText="1"/>
    </xf>
    <xf numFmtId="0" fontId="4" fillId="6" borderId="21" xfId="2" applyFont="1" applyFill="1" applyBorder="1" applyAlignment="1">
      <alignment horizontal="center" vertical="center" wrapText="1"/>
    </xf>
  </cellXfs>
  <cellStyles count="5">
    <cellStyle name="Comma" xfId="4" builtinId="3"/>
    <cellStyle name="Currency 3" xfId="3" xr:uid="{CD96B08A-51F3-4E7A-9CB4-29DA662B06B7}"/>
    <cellStyle name="Normal" xfId="0" builtinId="0"/>
    <cellStyle name="Normal 2" xfId="2" xr:uid="{D6485F33-A149-4854-85CC-76FDC54736D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sharepoint.com/sites/DVA-FinancialServices/Shared%20Documents/General/Equity%20in%20Public%20Spending/Veteran%20Spend%20-%20Diversity%20Report%20to%20the%20Govern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OMWBE\Veteran%20Spend%20-%20Diversity%20Report%20to%20the%20Govern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July 23 to 24 Oct 23"/>
      <sheetName val="Comb $ for Report "/>
      <sheetName val="Sheet1"/>
      <sheetName val="1 July 17 to 30 June 18"/>
      <sheetName val="1 July 18 to 30 June 19"/>
      <sheetName val="1 July 19 to 30 June 20"/>
      <sheetName val="1 July 20 to 3 June 21"/>
      <sheetName val="1 July 21 to 30 June 22"/>
      <sheetName val="1 July 22 to 30 June 23"/>
      <sheetName val="Unformatted"/>
      <sheetName val="Sheet2"/>
      <sheetName val="Avg % for Report"/>
      <sheetName val="2yr avg"/>
      <sheetName val="For 2yr avg Pivot"/>
      <sheetName val="3yr Average"/>
      <sheetName val="For 3yr avg Pivot"/>
    </sheetNames>
    <sheetDataSet>
      <sheetData sheetId="0" refreshError="1"/>
      <sheetData sheetId="1"/>
      <sheetData sheetId="2"/>
      <sheetData sheetId="3"/>
      <sheetData sheetId="4"/>
      <sheetData sheetId="5"/>
      <sheetData sheetId="6"/>
      <sheetData sheetId="7"/>
      <sheetData sheetId="8">
        <row r="3">
          <cell r="C3" t="str">
            <v>Agency Title</v>
          </cell>
          <cell r="D3" t="str">
            <v>FY  Total $  Spend</v>
          </cell>
        </row>
        <row r="4">
          <cell r="C4" t="str">
            <v>Administrative Office of the Courts</v>
          </cell>
          <cell r="D4">
            <v>17726613</v>
          </cell>
        </row>
        <row r="5">
          <cell r="C5" t="str">
            <v>Office of Governor</v>
          </cell>
          <cell r="D5">
            <v>135062</v>
          </cell>
        </row>
        <row r="6">
          <cell r="C6" t="str">
            <v>Governor's Office of Indian Affairs</v>
          </cell>
          <cell r="D6">
            <v>7073</v>
          </cell>
        </row>
        <row r="7">
          <cell r="C7" t="str">
            <v>Commission on Asian Pacific American Affairs</v>
          </cell>
          <cell r="D7">
            <v>12256</v>
          </cell>
        </row>
        <row r="8">
          <cell r="C8" t="str">
            <v>Department of Financial Institutions</v>
          </cell>
          <cell r="D8">
            <v>1184672</v>
          </cell>
        </row>
        <row r="9">
          <cell r="C9" t="str">
            <v>Department of Commerce</v>
          </cell>
          <cell r="D9">
            <v>185846186</v>
          </cell>
        </row>
        <row r="10">
          <cell r="C10" t="str">
            <v>Office of Financial Management</v>
          </cell>
          <cell r="D10">
            <v>36617170</v>
          </cell>
        </row>
        <row r="11">
          <cell r="C11" t="str">
            <v>Health Care Authority</v>
          </cell>
          <cell r="D11">
            <v>317252606</v>
          </cell>
        </row>
        <row r="12">
          <cell r="C12" t="str">
            <v>Office of Administrative Hearings</v>
          </cell>
          <cell r="D12">
            <v>631729</v>
          </cell>
        </row>
        <row r="13">
          <cell r="C13" t="str">
            <v>Washington's Lottery</v>
          </cell>
          <cell r="D13">
            <v>730483</v>
          </cell>
        </row>
        <row r="14">
          <cell r="C14" t="str">
            <v>Gambling Commission</v>
          </cell>
          <cell r="D14">
            <v>907521</v>
          </cell>
        </row>
        <row r="15">
          <cell r="C15" t="str">
            <v>Commission on Hispanic Affairs</v>
          </cell>
          <cell r="D15">
            <v>8768</v>
          </cell>
        </row>
        <row r="16">
          <cell r="C16" t="str">
            <v>Commission on African American Affairs</v>
          </cell>
          <cell r="D16">
            <v>5474</v>
          </cell>
        </row>
        <row r="17">
          <cell r="C17" t="str">
            <v>Department of Retirement Systems</v>
          </cell>
          <cell r="D17">
            <v>65418</v>
          </cell>
        </row>
        <row r="18">
          <cell r="C18" t="str">
            <v>Department of Revenue</v>
          </cell>
          <cell r="D18">
            <v>21209179</v>
          </cell>
        </row>
        <row r="19">
          <cell r="C19" t="str">
            <v>Board of Tax Appeals</v>
          </cell>
          <cell r="D19">
            <v>5360</v>
          </cell>
        </row>
        <row r="20">
          <cell r="C20" t="str">
            <v>Office of Minority &amp; Women's Business Enterprises</v>
          </cell>
          <cell r="D20">
            <v>21567</v>
          </cell>
        </row>
        <row r="21">
          <cell r="C21" t="str">
            <v>Consolidated Technology Services (WaTech)</v>
          </cell>
          <cell r="D21">
            <v>108101949</v>
          </cell>
        </row>
        <row r="22">
          <cell r="C22" t="str">
            <v>Board of Accountancy</v>
          </cell>
          <cell r="D22">
            <v>5486</v>
          </cell>
        </row>
        <row r="23">
          <cell r="C23" t="str">
            <v>Department of Enterprise Services</v>
          </cell>
          <cell r="D23">
            <v>279104286</v>
          </cell>
        </row>
        <row r="24">
          <cell r="C24" t="str">
            <v>Board of Industrial Insurance Appeals</v>
          </cell>
          <cell r="D24">
            <v>1952896</v>
          </cell>
        </row>
        <row r="25">
          <cell r="C25" t="str">
            <v>Liquor and Cannabis Board</v>
          </cell>
          <cell r="D25">
            <v>10677476</v>
          </cell>
        </row>
        <row r="26">
          <cell r="C26" t="str">
            <v>Washington State Patrol</v>
          </cell>
          <cell r="D26">
            <v>70046637</v>
          </cell>
        </row>
        <row r="27">
          <cell r="C27" t="str">
            <v>Traffic Safety Commission</v>
          </cell>
          <cell r="D27">
            <v>33749</v>
          </cell>
        </row>
        <row r="28">
          <cell r="C28" t="str">
            <v>Office of Independent Investigations</v>
          </cell>
          <cell r="D28">
            <v>2219294</v>
          </cell>
        </row>
        <row r="29">
          <cell r="C29" t="str">
            <v>Department of Labor and Industries</v>
          </cell>
          <cell r="D29">
            <v>65658682</v>
          </cell>
        </row>
        <row r="30">
          <cell r="C30" t="str">
            <v>Department of Licensing</v>
          </cell>
          <cell r="D30">
            <v>42910062</v>
          </cell>
        </row>
        <row r="31">
          <cell r="C31" t="str">
            <v>Military Department</v>
          </cell>
          <cell r="D31">
            <v>19232891</v>
          </cell>
        </row>
        <row r="32">
          <cell r="C32" t="str">
            <v>Department of Social and Health Services</v>
          </cell>
          <cell r="D32">
            <v>329640480</v>
          </cell>
        </row>
        <row r="33">
          <cell r="C33" t="str">
            <v>Department of Health</v>
          </cell>
          <cell r="D33">
            <v>243105725</v>
          </cell>
        </row>
        <row r="34">
          <cell r="C34" t="str">
            <v>Department of Veterans Affairs</v>
          </cell>
          <cell r="D34">
            <v>19306419</v>
          </cell>
        </row>
        <row r="35">
          <cell r="C35" t="str">
            <v>Department of Children, Youth and Families</v>
          </cell>
          <cell r="D35">
            <v>85185579</v>
          </cell>
        </row>
        <row r="36">
          <cell r="C36" t="str">
            <v>Department of Corrections</v>
          </cell>
          <cell r="D36">
            <v>182835370</v>
          </cell>
        </row>
        <row r="37">
          <cell r="C37" t="str">
            <v>Department of Services for the Blind</v>
          </cell>
          <cell r="D37">
            <v>304463</v>
          </cell>
        </row>
        <row r="38">
          <cell r="C38" t="str">
            <v>State School for the Blind</v>
          </cell>
          <cell r="D38">
            <v>185699</v>
          </cell>
        </row>
        <row r="39">
          <cell r="C39" t="str">
            <v xml:space="preserve">Center for Childhood Deafness &amp; Hearing Loss </v>
          </cell>
          <cell r="D39">
            <v>6257131</v>
          </cell>
        </row>
        <row r="40">
          <cell r="C40" t="str">
            <v>Department of Archaeology and Historic Preservation</v>
          </cell>
          <cell r="D40">
            <v>9071</v>
          </cell>
        </row>
        <row r="41">
          <cell r="C41" t="str">
            <v>Arts Commission</v>
          </cell>
          <cell r="D41">
            <v>2726410</v>
          </cell>
        </row>
        <row r="42">
          <cell r="C42" t="str">
            <v>Washington State Historical Society</v>
          </cell>
          <cell r="D42">
            <v>3856669</v>
          </cell>
        </row>
        <row r="43">
          <cell r="C43" t="str">
            <v>Department of Transportation</v>
          </cell>
          <cell r="D43">
            <v>1817821585</v>
          </cell>
        </row>
        <row r="44">
          <cell r="C44" t="str">
            <v>Department of Ecology</v>
          </cell>
          <cell r="D44">
            <v>35301764</v>
          </cell>
        </row>
        <row r="45">
          <cell r="C45" t="str">
            <v>Pollution Liability Insurance Agency</v>
          </cell>
          <cell r="D45">
            <v>14535</v>
          </cell>
        </row>
        <row r="46">
          <cell r="C46" t="str">
            <v>Environmental and Land Use Hearings Office</v>
          </cell>
          <cell r="D46">
            <v>10927</v>
          </cell>
        </row>
        <row r="47">
          <cell r="C47" t="str">
            <v>Dept of Fish And Wildlife</v>
          </cell>
          <cell r="D47">
            <v>98723655</v>
          </cell>
        </row>
        <row r="48">
          <cell r="C48" t="str">
            <v>Department of Natural Resources</v>
          </cell>
          <cell r="D48">
            <v>183912413</v>
          </cell>
        </row>
        <row r="49">
          <cell r="C49" t="str">
            <v>Department of Agriculture</v>
          </cell>
          <cell r="D49">
            <v>8618040</v>
          </cell>
        </row>
        <row r="50">
          <cell r="C50" t="str">
            <v>Employment Security Department</v>
          </cell>
          <cell r="D50">
            <v>47061770</v>
          </cell>
        </row>
      </sheetData>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 $ for Report "/>
      <sheetName val="Sheet1"/>
      <sheetName val="1 July 17 to 30 June 18"/>
      <sheetName val="1 July 18 to 30 June 19"/>
      <sheetName val="1 July 19 to 30 June 20"/>
      <sheetName val="1 July 20 to 3 June 21"/>
      <sheetName val="1 July 21 to 30 June 22"/>
      <sheetName val="1 July 22 to 31 May 23"/>
      <sheetName val="Unformatted"/>
      <sheetName val="Sheet2"/>
      <sheetName val="Avg % for Report"/>
      <sheetName val="2yr avg"/>
      <sheetName val="For 2yr avg Pivot"/>
      <sheetName val="3yr Average"/>
      <sheetName val="For 3yr avg Piv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Row Labels</v>
          </cell>
          <cell r="B3" t="str">
            <v>Sum of Veteran Spend $</v>
          </cell>
        </row>
        <row r="4">
          <cell r="A4" t="str">
            <v>Administrative Office of the Courts</v>
          </cell>
          <cell r="B4">
            <v>172616</v>
          </cell>
        </row>
        <row r="5">
          <cell r="A5" t="str">
            <v>Arts Commission</v>
          </cell>
          <cell r="B5">
            <v>372144</v>
          </cell>
        </row>
        <row r="6">
          <cell r="A6" t="str">
            <v>Board of Accountancy</v>
          </cell>
          <cell r="B6">
            <v>0</v>
          </cell>
        </row>
        <row r="7">
          <cell r="A7" t="str">
            <v>Board of Industrial Insurance Appeals</v>
          </cell>
          <cell r="B7">
            <v>3222999</v>
          </cell>
        </row>
        <row r="8">
          <cell r="A8" t="str">
            <v>Board of Tax Appeals</v>
          </cell>
          <cell r="B8">
            <v>0</v>
          </cell>
        </row>
        <row r="9">
          <cell r="A9" t="str">
            <v xml:space="preserve">Center for Childhood Deafness &amp; Hearing Loss </v>
          </cell>
          <cell r="B9">
            <v>485586</v>
          </cell>
        </row>
        <row r="10">
          <cell r="A10" t="str">
            <v>Commission on African American Affairs</v>
          </cell>
          <cell r="B10">
            <v>0</v>
          </cell>
        </row>
        <row r="11">
          <cell r="A11" t="str">
            <v>Commission on Asian Pacific American Affairs</v>
          </cell>
          <cell r="B11">
            <v>0</v>
          </cell>
        </row>
        <row r="12">
          <cell r="A12" t="str">
            <v>Commission on Hispanic Affairs</v>
          </cell>
          <cell r="B12">
            <v>10940</v>
          </cell>
        </row>
        <row r="13">
          <cell r="A13" t="str">
            <v>Consolidated Technology Services (WaTech)</v>
          </cell>
          <cell r="B13">
            <v>62308</v>
          </cell>
        </row>
        <row r="14">
          <cell r="A14" t="str">
            <v>Correction Ombuds</v>
          </cell>
          <cell r="B14">
            <v>0</v>
          </cell>
        </row>
        <row r="15">
          <cell r="A15" t="str">
            <v>Department of Agriculture</v>
          </cell>
          <cell r="B15">
            <v>153782</v>
          </cell>
        </row>
        <row r="16">
          <cell r="A16" t="str">
            <v>Department of Archaeology and Historic Preservation</v>
          </cell>
          <cell r="B16">
            <v>0</v>
          </cell>
        </row>
        <row r="17">
          <cell r="A17" t="str">
            <v>Department of Children, Youth and Families</v>
          </cell>
          <cell r="B17">
            <v>581945</v>
          </cell>
        </row>
        <row r="18">
          <cell r="A18" t="str">
            <v>Department of Commerce</v>
          </cell>
          <cell r="B18">
            <v>128325</v>
          </cell>
        </row>
        <row r="19">
          <cell r="A19" t="str">
            <v>Department of Corrections</v>
          </cell>
          <cell r="B19">
            <v>12183322</v>
          </cell>
        </row>
        <row r="20">
          <cell r="A20" t="str">
            <v>Department of Ecology</v>
          </cell>
          <cell r="B20">
            <v>389803</v>
          </cell>
        </row>
        <row r="21">
          <cell r="A21" t="str">
            <v>Department of Enterprise Services</v>
          </cell>
          <cell r="B21">
            <v>1418974</v>
          </cell>
        </row>
        <row r="22">
          <cell r="A22" t="str">
            <v>Department of Financial Institutions</v>
          </cell>
          <cell r="B22">
            <v>197507</v>
          </cell>
        </row>
        <row r="23">
          <cell r="A23" t="str">
            <v>Department of Health</v>
          </cell>
          <cell r="B23">
            <v>1324610</v>
          </cell>
        </row>
        <row r="24">
          <cell r="A24" t="str">
            <v>Department of Labor and Industries</v>
          </cell>
          <cell r="B24">
            <v>3914386</v>
          </cell>
        </row>
        <row r="25">
          <cell r="A25" t="str">
            <v>Department of Licensing</v>
          </cell>
          <cell r="B25">
            <v>3566688</v>
          </cell>
        </row>
        <row r="26">
          <cell r="A26" t="str">
            <v>Department of Natural Resources</v>
          </cell>
          <cell r="B26">
            <v>1983217</v>
          </cell>
        </row>
        <row r="27">
          <cell r="A27" t="str">
            <v>Department of Retirement Systems</v>
          </cell>
          <cell r="B27">
            <v>0</v>
          </cell>
        </row>
        <row r="28">
          <cell r="A28" t="str">
            <v>Department of Revenue</v>
          </cell>
          <cell r="B28">
            <v>14774</v>
          </cell>
        </row>
        <row r="29">
          <cell r="A29" t="str">
            <v>Department of Services for the Blind</v>
          </cell>
          <cell r="B29">
            <v>7373</v>
          </cell>
        </row>
        <row r="30">
          <cell r="A30" t="str">
            <v>Department of Social and Health Services</v>
          </cell>
          <cell r="B30">
            <v>6832557</v>
          </cell>
        </row>
        <row r="31">
          <cell r="A31" t="str">
            <v>Department of Transportation</v>
          </cell>
          <cell r="B31">
            <v>5674209</v>
          </cell>
        </row>
        <row r="32">
          <cell r="A32" t="str">
            <v>Department of Veterans Affairs</v>
          </cell>
          <cell r="B32">
            <v>1488741</v>
          </cell>
        </row>
        <row r="33">
          <cell r="A33" t="str">
            <v>Dept of Fish And Wildlife</v>
          </cell>
          <cell r="B33">
            <v>2067266</v>
          </cell>
        </row>
        <row r="34">
          <cell r="A34" t="str">
            <v>Education Ombuds</v>
          </cell>
          <cell r="B34">
            <v>0</v>
          </cell>
        </row>
        <row r="35">
          <cell r="A35" t="str">
            <v>Employment Security Department</v>
          </cell>
          <cell r="B35">
            <v>624871</v>
          </cell>
        </row>
        <row r="36">
          <cell r="A36" t="str">
            <v>Energy Facility Site Evaluation Council</v>
          </cell>
          <cell r="B36">
            <v>0</v>
          </cell>
        </row>
        <row r="37">
          <cell r="A37" t="str">
            <v>Environmental and Land Use Hearings Office</v>
          </cell>
          <cell r="B37">
            <v>1513</v>
          </cell>
        </row>
        <row r="38">
          <cell r="A38" t="str">
            <v>Gambling Commission</v>
          </cell>
          <cell r="B38">
            <v>77066</v>
          </cell>
        </row>
        <row r="39">
          <cell r="A39" t="str">
            <v>Governor's Office of Indian Affairs</v>
          </cell>
          <cell r="B39">
            <v>0</v>
          </cell>
        </row>
        <row r="40">
          <cell r="A40" t="str">
            <v>Health Care Authority</v>
          </cell>
          <cell r="B40">
            <v>90567</v>
          </cell>
        </row>
        <row r="41">
          <cell r="A41" t="str">
            <v>Indeterminate Sentencing Review Board</v>
          </cell>
          <cell r="B41">
            <v>0</v>
          </cell>
        </row>
        <row r="42">
          <cell r="A42" t="str">
            <v>LGBTQ Commision</v>
          </cell>
          <cell r="B42">
            <v>0</v>
          </cell>
        </row>
        <row r="43">
          <cell r="A43" t="str">
            <v>Liquor and Cannabis Board</v>
          </cell>
          <cell r="B43">
            <v>188187</v>
          </cell>
        </row>
        <row r="44">
          <cell r="A44" t="str">
            <v>Military Department</v>
          </cell>
          <cell r="B44">
            <v>4222514</v>
          </cell>
        </row>
        <row r="45">
          <cell r="A45" t="str">
            <v>Office of Administrative Hearings</v>
          </cell>
          <cell r="B45">
            <v>3297</v>
          </cell>
        </row>
        <row r="46">
          <cell r="A46" t="str">
            <v>Office of Equity</v>
          </cell>
          <cell r="B46">
            <v>0</v>
          </cell>
        </row>
        <row r="47">
          <cell r="A47" t="str">
            <v>Office of Family &amp; Children's Ombuds</v>
          </cell>
          <cell r="B47">
            <v>0</v>
          </cell>
        </row>
        <row r="48">
          <cell r="A48" t="str">
            <v>Office of Financial Management</v>
          </cell>
          <cell r="B48">
            <v>125067</v>
          </cell>
        </row>
        <row r="49">
          <cell r="A49" t="str">
            <v>Office of Governor</v>
          </cell>
          <cell r="B49">
            <v>0</v>
          </cell>
        </row>
        <row r="50">
          <cell r="A50" t="str">
            <v>Office of Independent Investigations</v>
          </cell>
          <cell r="B50">
            <v>24398</v>
          </cell>
        </row>
        <row r="51">
          <cell r="A51" t="str">
            <v>Office of Minority &amp; Women's Business Enterprises</v>
          </cell>
          <cell r="B51">
            <v>1168</v>
          </cell>
        </row>
        <row r="52">
          <cell r="A52" t="str">
            <v>Office of Regulatory Innovation and Assistance</v>
          </cell>
          <cell r="B52">
            <v>0</v>
          </cell>
        </row>
        <row r="53">
          <cell r="A53" t="str">
            <v>Office of State Treasurer</v>
          </cell>
          <cell r="B53">
            <v>0</v>
          </cell>
        </row>
        <row r="54">
          <cell r="A54" t="str">
            <v>Pollution Liability Insurance Agency</v>
          </cell>
          <cell r="B54">
            <v>42605</v>
          </cell>
        </row>
        <row r="55">
          <cell r="A55" t="str">
            <v>Puget Sound Partnership</v>
          </cell>
          <cell r="B55">
            <v>0</v>
          </cell>
        </row>
        <row r="56">
          <cell r="A56" t="str">
            <v>Recreation and Conservation Office</v>
          </cell>
          <cell r="B56">
            <v>0</v>
          </cell>
        </row>
        <row r="57">
          <cell r="A57" t="str">
            <v>Results Washington</v>
          </cell>
          <cell r="B57">
            <v>0</v>
          </cell>
        </row>
        <row r="58">
          <cell r="A58" t="str">
            <v>State School for the Blind</v>
          </cell>
          <cell r="B58">
            <v>639361</v>
          </cell>
        </row>
        <row r="59">
          <cell r="A59" t="str">
            <v>Traffic Safety Commission</v>
          </cell>
          <cell r="B59">
            <v>0</v>
          </cell>
        </row>
        <row r="60">
          <cell r="A60" t="str">
            <v>Utilities and Transportation Commission</v>
          </cell>
          <cell r="B60">
            <v>0</v>
          </cell>
        </row>
        <row r="61">
          <cell r="A61" t="str">
            <v>Washington State Historical Society</v>
          </cell>
          <cell r="B61">
            <v>179026</v>
          </cell>
        </row>
        <row r="62">
          <cell r="A62" t="str">
            <v>Washington State Patrol</v>
          </cell>
          <cell r="B62">
            <v>1929192</v>
          </cell>
        </row>
        <row r="63">
          <cell r="A63" t="str">
            <v>Washington Student Achievement Council</v>
          </cell>
          <cell r="B63">
            <v>0</v>
          </cell>
        </row>
        <row r="64">
          <cell r="A64" t="str">
            <v>Washington's Lottery</v>
          </cell>
          <cell r="B64">
            <v>585</v>
          </cell>
        </row>
        <row r="65">
          <cell r="A65" t="str">
            <v>Workforce Training and Education Coordinating Board</v>
          </cell>
          <cell r="B65">
            <v>0</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EF6A-F13C-4AF5-BC81-342559636904}">
  <dimension ref="A1:I79"/>
  <sheetViews>
    <sheetView topLeftCell="A4" workbookViewId="0">
      <pane ySplit="1" topLeftCell="B13" activePane="bottomLeft" state="frozen"/>
      <selection pane="bottomLeft" activeCell="B13" sqref="B13"/>
      <selection activeCell="A4" sqref="A4"/>
    </sheetView>
  </sheetViews>
  <sheetFormatPr defaultRowHeight="14.45"/>
  <cols>
    <col min="1" max="1" width="17" customWidth="1"/>
    <col min="2" max="2" width="49.5703125" bestFit="1" customWidth="1"/>
    <col min="3" max="5" width="14.7109375" customWidth="1"/>
    <col min="6" max="6" width="17" customWidth="1"/>
    <col min="7" max="7" width="20.85546875" customWidth="1"/>
    <col min="8" max="8" width="13.140625" customWidth="1"/>
    <col min="9" max="9" width="18.28515625" style="15" customWidth="1"/>
    <col min="10" max="10" width="9.28515625" customWidth="1"/>
    <col min="11" max="11" width="19.28515625" customWidth="1"/>
  </cols>
  <sheetData>
    <row r="1" spans="1:9" ht="31.9" customHeight="1">
      <c r="B1" s="137" t="s">
        <v>0</v>
      </c>
      <c r="C1" s="138"/>
      <c r="D1" s="138"/>
      <c r="E1" s="138"/>
      <c r="F1" s="138"/>
      <c r="G1" s="138"/>
    </row>
    <row r="2" spans="1:9" ht="31.9" customHeight="1">
      <c r="B2" s="139" t="s">
        <v>1</v>
      </c>
      <c r="C2" s="140"/>
      <c r="D2" s="140"/>
      <c r="E2" s="140"/>
      <c r="F2" s="140"/>
      <c r="G2" s="140"/>
    </row>
    <row r="3" spans="1:9" ht="16.5" customHeight="1">
      <c r="B3" s="131"/>
      <c r="C3" s="132"/>
      <c r="D3" s="132"/>
      <c r="E3" s="132"/>
      <c r="F3" s="132"/>
      <c r="G3" s="132"/>
    </row>
    <row r="4" spans="1:9" ht="43.15">
      <c r="A4" s="5" t="s">
        <v>2</v>
      </c>
      <c r="B4" s="1" t="s">
        <v>3</v>
      </c>
      <c r="C4" s="1" t="s">
        <v>4</v>
      </c>
      <c r="D4" s="1" t="s">
        <v>5</v>
      </c>
      <c r="E4" s="1" t="s">
        <v>6</v>
      </c>
      <c r="F4" s="7" t="s">
        <v>7</v>
      </c>
      <c r="G4" s="7" t="s">
        <v>8</v>
      </c>
      <c r="H4" s="7" t="s">
        <v>9</v>
      </c>
      <c r="I4" s="133" t="s">
        <v>10</v>
      </c>
    </row>
    <row r="5" spans="1:9">
      <c r="A5" s="6" t="s">
        <v>11</v>
      </c>
      <c r="B5" s="1" t="s">
        <v>12</v>
      </c>
      <c r="C5" s="2">
        <v>10219092</v>
      </c>
      <c r="D5" s="2">
        <v>12050615</v>
      </c>
      <c r="E5" s="2">
        <f>VLOOKUP(B5,'[1]1 July 22 to 30 June 23'!$C$3:$D$50,2,FALSE)</f>
        <v>17726613</v>
      </c>
      <c r="F5" s="3">
        <f t="shared" ref="F5:F45" si="0">SUM(C5:E5)</f>
        <v>39996320</v>
      </c>
      <c r="G5" s="3">
        <f>VLOOKUP(B5,'[2]3yr Average'!$A$3:$B$65,2,FALSE)</f>
        <v>172616</v>
      </c>
      <c r="H5" s="4">
        <f t="shared" ref="H5:H34" si="1">G5/F5</f>
        <v>4.3157970533289061E-3</v>
      </c>
      <c r="I5" s="10">
        <v>0.01</v>
      </c>
    </row>
    <row r="6" spans="1:9">
      <c r="A6" s="6">
        <v>387</v>
      </c>
      <c r="B6" s="1" t="s">
        <v>13</v>
      </c>
      <c r="C6" s="2">
        <v>54567</v>
      </c>
      <c r="D6" s="2">
        <v>2524131</v>
      </c>
      <c r="E6" s="2">
        <f>VLOOKUP(B6,'[1]1 July 22 to 30 June 23'!$C$3:$D$50,2,FALSE)</f>
        <v>2726410</v>
      </c>
      <c r="F6" s="3">
        <f t="shared" si="0"/>
        <v>5305108</v>
      </c>
      <c r="G6" s="3">
        <f>VLOOKUP(B6,'[2]3yr Average'!$A$3:$B$65,2,FALSE)</f>
        <v>372144</v>
      </c>
      <c r="H6" s="4">
        <f t="shared" si="1"/>
        <v>7.0148242033903935E-2</v>
      </c>
      <c r="I6" s="16">
        <f>(G6*0.2+G6)/F6</f>
        <v>8.4177890440684716E-2</v>
      </c>
    </row>
    <row r="7" spans="1:9">
      <c r="A7" s="6" t="s">
        <v>14</v>
      </c>
      <c r="B7" s="1" t="s">
        <v>15</v>
      </c>
      <c r="C7" s="2">
        <v>2754</v>
      </c>
      <c r="D7" s="2">
        <v>407299</v>
      </c>
      <c r="E7" s="2">
        <f>VLOOKUP(B7,'[1]1 July 22 to 30 June 23'!$C$3:$D$50,2,FALSE)</f>
        <v>5486</v>
      </c>
      <c r="F7" s="3">
        <f t="shared" si="0"/>
        <v>415539</v>
      </c>
      <c r="G7" s="8">
        <f>VLOOKUP(B7,'[2]3yr Average'!$A$3:$B$65,2,FALSE)</f>
        <v>0</v>
      </c>
      <c r="H7" s="4">
        <f t="shared" si="1"/>
        <v>0</v>
      </c>
      <c r="I7" s="10">
        <v>0.01</v>
      </c>
    </row>
    <row r="8" spans="1:9">
      <c r="A8" s="6">
        <v>190</v>
      </c>
      <c r="B8" s="1" t="s">
        <v>16</v>
      </c>
      <c r="C8" s="2">
        <v>2290882</v>
      </c>
      <c r="D8" s="2">
        <v>2108871</v>
      </c>
      <c r="E8" s="2">
        <f>VLOOKUP(B8,'[1]1 July 22 to 30 June 23'!$C$3:$D$50,2,FALSE)</f>
        <v>1952896</v>
      </c>
      <c r="F8" s="3">
        <f t="shared" si="0"/>
        <v>6352649</v>
      </c>
      <c r="G8" s="3">
        <f>VLOOKUP(B8,'[2]3yr Average'!$A$3:$B$65,2,FALSE)</f>
        <v>3222999</v>
      </c>
      <c r="H8" s="4">
        <f t="shared" si="1"/>
        <v>0.50734724994250435</v>
      </c>
      <c r="I8" s="16">
        <v>0.01</v>
      </c>
    </row>
    <row r="9" spans="1:9">
      <c r="A9" s="6" t="s">
        <v>17</v>
      </c>
      <c r="B9" s="1" t="s">
        <v>18</v>
      </c>
      <c r="C9" s="2">
        <v>28366</v>
      </c>
      <c r="D9" s="2">
        <v>8313</v>
      </c>
      <c r="E9" s="2">
        <f>VLOOKUP(B9,'[1]1 July 22 to 30 June 23'!$C$3:$D$50,2,FALSE)</f>
        <v>5360</v>
      </c>
      <c r="F9" s="3">
        <f t="shared" si="0"/>
        <v>42039</v>
      </c>
      <c r="G9" s="8">
        <f>VLOOKUP(B9,'[2]3yr Average'!$A$3:$B$65,2,FALSE)</f>
        <v>0</v>
      </c>
      <c r="H9" s="4">
        <f t="shared" si="1"/>
        <v>0</v>
      </c>
      <c r="I9" s="10">
        <v>0.01</v>
      </c>
    </row>
    <row r="10" spans="1:9">
      <c r="A10" s="6">
        <v>353</v>
      </c>
      <c r="B10" s="1" t="s">
        <v>19</v>
      </c>
      <c r="C10" s="2">
        <v>1801546</v>
      </c>
      <c r="D10" s="2">
        <v>5483219</v>
      </c>
      <c r="E10" s="2">
        <f>VLOOKUP(B10,'[1]1 July 22 to 30 June 23'!$C$3:$D$50,2,FALSE)</f>
        <v>6257131</v>
      </c>
      <c r="F10" s="3">
        <f t="shared" si="0"/>
        <v>13541896</v>
      </c>
      <c r="G10" s="3">
        <f>VLOOKUP(B10,'[2]3yr Average'!$A$3:$B$65,2,FALSE)</f>
        <v>485586</v>
      </c>
      <c r="H10" s="4">
        <f t="shared" si="1"/>
        <v>3.5858051191649976E-2</v>
      </c>
      <c r="I10" s="16">
        <f>(G10*0.2+G10)/F10</f>
        <v>4.3029661429979965E-2</v>
      </c>
    </row>
    <row r="11" spans="1:9">
      <c r="A11" s="6" t="s">
        <v>20</v>
      </c>
      <c r="B11" s="1" t="s">
        <v>21</v>
      </c>
      <c r="C11" s="2">
        <v>8621</v>
      </c>
      <c r="D11" s="2">
        <v>4117</v>
      </c>
      <c r="E11" s="2">
        <f>VLOOKUP(B11,'[1]1 July 22 to 30 June 23'!$C$3:$D$50,2,FALSE)</f>
        <v>5474</v>
      </c>
      <c r="F11" s="3">
        <f t="shared" si="0"/>
        <v>18212</v>
      </c>
      <c r="G11" s="8">
        <f>VLOOKUP(B11,'[2]3yr Average'!$A$3:$B$65,2,FALSE)</f>
        <v>0</v>
      </c>
      <c r="H11" s="4">
        <f t="shared" si="1"/>
        <v>0</v>
      </c>
      <c r="I11" s="10">
        <v>0.01</v>
      </c>
    </row>
    <row r="12" spans="1:9">
      <c r="A12" s="6" t="s">
        <v>22</v>
      </c>
      <c r="B12" s="1" t="s">
        <v>23</v>
      </c>
      <c r="C12" s="2">
        <v>15953</v>
      </c>
      <c r="D12" s="2">
        <v>33512</v>
      </c>
      <c r="E12" s="2">
        <f>VLOOKUP(B12,'[1]1 July 22 to 30 June 23'!$C$3:$D$50,2,FALSE)</f>
        <v>12256</v>
      </c>
      <c r="F12" s="3">
        <f t="shared" si="0"/>
        <v>61721</v>
      </c>
      <c r="G12" s="8">
        <f>VLOOKUP(B12,'[2]3yr Average'!$A$3:$B$65,2,FALSE)</f>
        <v>0</v>
      </c>
      <c r="H12" s="4">
        <f t="shared" si="1"/>
        <v>0</v>
      </c>
      <c r="I12" s="10">
        <v>0.01</v>
      </c>
    </row>
    <row r="13" spans="1:9">
      <c r="A13" s="6">
        <v>118</v>
      </c>
      <c r="B13" s="1" t="s">
        <v>24</v>
      </c>
      <c r="C13" s="2">
        <v>79198</v>
      </c>
      <c r="D13" s="2">
        <v>3022</v>
      </c>
      <c r="E13" s="2">
        <f>VLOOKUP(B13,'[1]1 July 22 to 30 June 23'!$C$3:$D$50,2,FALSE)</f>
        <v>8768</v>
      </c>
      <c r="F13" s="3">
        <f t="shared" si="0"/>
        <v>90988</v>
      </c>
      <c r="G13" s="3">
        <f>VLOOKUP(B13,'[2]3yr Average'!$A$3:$B$65,2,FALSE)</f>
        <v>10940</v>
      </c>
      <c r="H13" s="4">
        <f t="shared" si="1"/>
        <v>0.12023563546841341</v>
      </c>
      <c r="I13" s="16">
        <v>0.121</v>
      </c>
    </row>
    <row r="14" spans="1:9">
      <c r="A14" s="6" t="s">
        <v>25</v>
      </c>
      <c r="B14" s="1" t="s">
        <v>26</v>
      </c>
      <c r="C14" s="2">
        <v>94114</v>
      </c>
      <c r="D14" s="2">
        <v>94377924</v>
      </c>
      <c r="E14" s="2">
        <f>VLOOKUP(B14,'[1]1 July 22 to 30 June 23'!$C$3:$D$50,2,FALSE)</f>
        <v>108101949</v>
      </c>
      <c r="F14" s="3">
        <f t="shared" si="0"/>
        <v>202573987</v>
      </c>
      <c r="G14" s="3">
        <f>VLOOKUP(B14,'[2]3yr Average'!$A$3:$B$65,2,FALSE)</f>
        <v>62308</v>
      </c>
      <c r="H14" s="4">
        <f t="shared" si="1"/>
        <v>3.0758144677282774E-4</v>
      </c>
      <c r="I14" s="10">
        <v>0.01</v>
      </c>
    </row>
    <row r="15" spans="1:9">
      <c r="A15" s="6" t="s">
        <v>27</v>
      </c>
      <c r="B15" s="1" t="s">
        <v>28</v>
      </c>
      <c r="C15" s="2">
        <v>23133133</v>
      </c>
      <c r="D15" s="2">
        <v>8320593</v>
      </c>
      <c r="E15" s="2">
        <f>VLOOKUP(B15,'[1]1 July 22 to 30 June 23'!$C$3:$D$50,2,FALSE)</f>
        <v>8618040</v>
      </c>
      <c r="F15" s="3">
        <f t="shared" si="0"/>
        <v>40071766</v>
      </c>
      <c r="G15" s="3">
        <f>VLOOKUP(B15,'[2]3yr Average'!$A$3:$B$65,2,FALSE)</f>
        <v>153782</v>
      </c>
      <c r="H15" s="4">
        <f t="shared" si="1"/>
        <v>3.8376646539610955E-3</v>
      </c>
      <c r="I15" s="10">
        <v>0.01</v>
      </c>
    </row>
    <row r="16" spans="1:9">
      <c r="A16" s="6" t="s">
        <v>29</v>
      </c>
      <c r="B16" s="1" t="s">
        <v>30</v>
      </c>
      <c r="C16" s="2">
        <v>9874</v>
      </c>
      <c r="D16" s="2">
        <v>173243</v>
      </c>
      <c r="E16" s="2">
        <f>VLOOKUP(B16,'[1]1 July 22 to 30 June 23'!$C$3:$D$50,2,FALSE)</f>
        <v>9071</v>
      </c>
      <c r="F16" s="3">
        <f t="shared" si="0"/>
        <v>192188</v>
      </c>
      <c r="G16" s="8">
        <f>VLOOKUP(B16,'[2]3yr Average'!$A$3:$B$65,2,FALSE)</f>
        <v>0</v>
      </c>
      <c r="H16" s="4">
        <f t="shared" si="1"/>
        <v>0</v>
      </c>
      <c r="I16" s="10">
        <v>0.01</v>
      </c>
    </row>
    <row r="17" spans="1:9">
      <c r="A17" s="6" t="s">
        <v>31</v>
      </c>
      <c r="B17" s="1" t="s">
        <v>32</v>
      </c>
      <c r="C17" s="2">
        <v>59948929</v>
      </c>
      <c r="D17" s="2">
        <v>98637683</v>
      </c>
      <c r="E17" s="2">
        <f>VLOOKUP(B17,'[1]1 July 22 to 30 June 23'!$C$3:$D$50,2,FALSE)</f>
        <v>85185579</v>
      </c>
      <c r="F17" s="3">
        <f t="shared" si="0"/>
        <v>243772191</v>
      </c>
      <c r="G17" s="3">
        <f>VLOOKUP(B17,'[2]3yr Average'!$A$3:$B$65,2,FALSE)</f>
        <v>581945</v>
      </c>
      <c r="H17" s="4">
        <f t="shared" si="1"/>
        <v>2.3872493314875281E-3</v>
      </c>
      <c r="I17" s="10">
        <v>0.01</v>
      </c>
    </row>
    <row r="18" spans="1:9">
      <c r="A18" s="6" t="s">
        <v>33</v>
      </c>
      <c r="B18" s="1" t="s">
        <v>34</v>
      </c>
      <c r="C18" s="2">
        <v>45276198</v>
      </c>
      <c r="D18" s="2">
        <v>14546561</v>
      </c>
      <c r="E18" s="2">
        <f>VLOOKUP(B18,'[1]1 July 22 to 30 June 23'!$C$3:$D$50,2,FALSE)</f>
        <v>185846186</v>
      </c>
      <c r="F18" s="3">
        <f t="shared" si="0"/>
        <v>245668945</v>
      </c>
      <c r="G18" s="3">
        <f>VLOOKUP(B18,'[2]3yr Average'!$A$3:$B$65,2,FALSE)</f>
        <v>128325</v>
      </c>
      <c r="H18" s="4">
        <f t="shared" si="1"/>
        <v>5.2234929408761859E-4</v>
      </c>
      <c r="I18" s="10">
        <v>0.01</v>
      </c>
    </row>
    <row r="19" spans="1:9">
      <c r="A19" s="6">
        <v>310</v>
      </c>
      <c r="B19" s="1" t="s">
        <v>35</v>
      </c>
      <c r="C19" s="2">
        <v>146655677</v>
      </c>
      <c r="D19" s="2">
        <v>151931718</v>
      </c>
      <c r="E19" s="2">
        <f>VLOOKUP(B19,'[1]1 July 22 to 30 June 23'!$C$3:$D$50,2,FALSE)</f>
        <v>182835370</v>
      </c>
      <c r="F19" s="3">
        <f t="shared" si="0"/>
        <v>481422765</v>
      </c>
      <c r="G19" s="3">
        <f>VLOOKUP(B19,'[2]3yr Average'!$A$3:$B$65,2,FALSE)</f>
        <v>12183322</v>
      </c>
      <c r="H19" s="4">
        <f t="shared" si="1"/>
        <v>2.5306908783177297E-2</v>
      </c>
      <c r="I19" s="16">
        <f>(G19*0.2+G19)/F19</f>
        <v>3.0368290539812756E-2</v>
      </c>
    </row>
    <row r="20" spans="1:9">
      <c r="A20" s="6" t="s">
        <v>36</v>
      </c>
      <c r="B20" s="1" t="s">
        <v>37</v>
      </c>
      <c r="C20" s="2">
        <v>28604865</v>
      </c>
      <c r="D20" s="2">
        <v>32282127</v>
      </c>
      <c r="E20" s="2">
        <f>VLOOKUP(B20,'[1]1 July 22 to 30 June 23'!$C$3:$D$50,2,FALSE)</f>
        <v>35301764</v>
      </c>
      <c r="F20" s="3">
        <f t="shared" si="0"/>
        <v>96188756</v>
      </c>
      <c r="G20" s="3">
        <f>VLOOKUP(B20,'[2]3yr Average'!$A$3:$B$65,2,FALSE)</f>
        <v>389803</v>
      </c>
      <c r="H20" s="4">
        <f t="shared" si="1"/>
        <v>4.0524798969226719E-3</v>
      </c>
      <c r="I20" s="10">
        <v>0.01</v>
      </c>
    </row>
    <row r="21" spans="1:9">
      <c r="A21" s="6" t="s">
        <v>38</v>
      </c>
      <c r="B21" s="1" t="s">
        <v>39</v>
      </c>
      <c r="C21" s="2">
        <v>338918122</v>
      </c>
      <c r="D21" s="2">
        <v>100229615</v>
      </c>
      <c r="E21" s="2">
        <f>VLOOKUP(B21,'[1]1 July 22 to 30 June 23'!$C$3:$D$50,2,FALSE)</f>
        <v>279104286</v>
      </c>
      <c r="F21" s="3">
        <f t="shared" si="0"/>
        <v>718252023</v>
      </c>
      <c r="G21" s="3">
        <f>VLOOKUP(B21,'[2]3yr Average'!$A$3:$B$65,2,FALSE)</f>
        <v>1418974</v>
      </c>
      <c r="H21" s="4">
        <f t="shared" si="1"/>
        <v>1.9755934610155633E-3</v>
      </c>
      <c r="I21" s="10">
        <v>0.01</v>
      </c>
    </row>
    <row r="22" spans="1:9">
      <c r="A22" s="6">
        <v>102</v>
      </c>
      <c r="B22" s="1" t="s">
        <v>40</v>
      </c>
      <c r="C22" s="2">
        <v>263076</v>
      </c>
      <c r="D22" s="2">
        <v>1366097</v>
      </c>
      <c r="E22" s="2">
        <f>VLOOKUP(B22,'[1]1 July 22 to 30 June 23'!$C$3:$D$50,2,FALSE)</f>
        <v>1184672</v>
      </c>
      <c r="F22" s="3">
        <f t="shared" si="0"/>
        <v>2813845</v>
      </c>
      <c r="G22" s="3">
        <f>VLOOKUP(B22,'[2]3yr Average'!$A$3:$B$65,2,FALSE)</f>
        <v>197507</v>
      </c>
      <c r="H22" s="4">
        <f t="shared" si="1"/>
        <v>7.0191144146177206E-2</v>
      </c>
      <c r="I22" s="16">
        <f>(G22*0.2+G22)/F22</f>
        <v>8.422937297541265E-2</v>
      </c>
    </row>
    <row r="23" spans="1:9">
      <c r="A23" s="6" t="s">
        <v>41</v>
      </c>
      <c r="B23" s="1" t="s">
        <v>42</v>
      </c>
      <c r="C23" s="2">
        <v>228502857</v>
      </c>
      <c r="D23" s="2">
        <v>533695166</v>
      </c>
      <c r="E23" s="2">
        <f>VLOOKUP(B23,'[1]1 July 22 to 30 June 23'!$C$3:$D$50,2,FALSE)</f>
        <v>243105725</v>
      </c>
      <c r="F23" s="3">
        <f t="shared" si="0"/>
        <v>1005303748</v>
      </c>
      <c r="G23" s="3">
        <f>VLOOKUP(B23,'[2]3yr Average'!$A$3:$B$65,2,FALSE)</f>
        <v>1324610</v>
      </c>
      <c r="H23" s="4">
        <f t="shared" si="1"/>
        <v>1.3176216667203752E-3</v>
      </c>
      <c r="I23" s="10">
        <v>0.01</v>
      </c>
    </row>
    <row r="24" spans="1:9">
      <c r="A24" s="6">
        <v>235</v>
      </c>
      <c r="B24" s="1" t="s">
        <v>43</v>
      </c>
      <c r="C24" s="2">
        <v>42689778</v>
      </c>
      <c r="D24" s="2">
        <v>52437888</v>
      </c>
      <c r="E24" s="2">
        <f>VLOOKUP(B24,'[1]1 July 22 to 30 June 23'!$C$3:$D$50,2,FALSE)</f>
        <v>65658682</v>
      </c>
      <c r="F24" s="3">
        <f t="shared" si="0"/>
        <v>160786348</v>
      </c>
      <c r="G24" s="3">
        <f>VLOOKUP(B24,'[2]3yr Average'!$A$3:$B$65,2,FALSE)</f>
        <v>3914386</v>
      </c>
      <c r="H24" s="4">
        <f t="shared" si="1"/>
        <v>2.4345263442391265E-2</v>
      </c>
      <c r="I24" s="16">
        <v>2.23E-2</v>
      </c>
    </row>
    <row r="25" spans="1:9">
      <c r="A25" s="6">
        <v>240</v>
      </c>
      <c r="B25" s="1" t="s">
        <v>44</v>
      </c>
      <c r="C25" s="2">
        <v>37748020</v>
      </c>
      <c r="D25" s="2">
        <v>29521564</v>
      </c>
      <c r="E25" s="2">
        <f>VLOOKUP(B25,'[1]1 July 22 to 30 June 23'!$C$3:$D$50,2,FALSE)</f>
        <v>42910062</v>
      </c>
      <c r="F25" s="3">
        <f t="shared" si="0"/>
        <v>110179646</v>
      </c>
      <c r="G25" s="3">
        <f>VLOOKUP(B25,'[2]3yr Average'!$A$3:$B$65,2,FALSE)</f>
        <v>3566688</v>
      </c>
      <c r="H25" s="4">
        <f t="shared" si="1"/>
        <v>3.2371568883058491E-2</v>
      </c>
      <c r="I25" s="16">
        <f>(G25*0.2+G25)/F25</f>
        <v>3.8845882659670185E-2</v>
      </c>
    </row>
    <row r="26" spans="1:9">
      <c r="A26" s="6">
        <v>490</v>
      </c>
      <c r="B26" s="1" t="s">
        <v>45</v>
      </c>
      <c r="C26" s="2">
        <v>83450430</v>
      </c>
      <c r="D26" s="2">
        <v>141768652</v>
      </c>
      <c r="E26" s="2">
        <f>VLOOKUP(B26,'[1]1 July 22 to 30 June 23'!$C$3:$D$50,2,FALSE)</f>
        <v>183912413</v>
      </c>
      <c r="F26" s="3">
        <f t="shared" si="0"/>
        <v>409131495</v>
      </c>
      <c r="G26" s="3">
        <f>VLOOKUP(B26,'[2]3yr Average'!$A$3:$B$65,2,FALSE)</f>
        <v>1983217</v>
      </c>
      <c r="H26" s="4">
        <f t="shared" si="1"/>
        <v>4.8473828689233516E-3</v>
      </c>
      <c r="I26" s="10">
        <v>0.01</v>
      </c>
    </row>
    <row r="27" spans="1:9">
      <c r="A27" s="6" t="s">
        <v>46</v>
      </c>
      <c r="B27" s="1" t="s">
        <v>47</v>
      </c>
      <c r="C27" s="2">
        <v>93838</v>
      </c>
      <c r="D27" s="2">
        <v>12216241</v>
      </c>
      <c r="E27" s="2">
        <f>VLOOKUP(B27,'[1]1 July 22 to 30 June 23'!$C$3:$D$50,2,FALSE)</f>
        <v>65418</v>
      </c>
      <c r="F27" s="3">
        <f t="shared" si="0"/>
        <v>12375497</v>
      </c>
      <c r="G27" s="8">
        <f>VLOOKUP(B27,'[2]3yr Average'!$A$3:$B$65,2,FALSE)</f>
        <v>0</v>
      </c>
      <c r="H27" s="4">
        <f t="shared" si="1"/>
        <v>0</v>
      </c>
      <c r="I27" s="10">
        <v>0.01</v>
      </c>
    </row>
    <row r="28" spans="1:9">
      <c r="A28" s="6" t="s">
        <v>48</v>
      </c>
      <c r="B28" s="1" t="s">
        <v>49</v>
      </c>
      <c r="C28" s="2">
        <v>120032</v>
      </c>
      <c r="D28" s="2">
        <v>23861399</v>
      </c>
      <c r="E28" s="2">
        <f>VLOOKUP(B28,'[1]1 July 22 to 30 June 23'!$C$3:$D$50,2,FALSE)</f>
        <v>21209179</v>
      </c>
      <c r="F28" s="3">
        <f t="shared" si="0"/>
        <v>45190610</v>
      </c>
      <c r="G28" s="3">
        <f>VLOOKUP(B28,'[2]3yr Average'!$A$3:$B$65,2,FALSE)</f>
        <v>14774</v>
      </c>
      <c r="H28" s="4">
        <f t="shared" si="1"/>
        <v>3.269263238535616E-4</v>
      </c>
      <c r="I28" s="10">
        <v>0.01</v>
      </c>
    </row>
    <row r="29" spans="1:9">
      <c r="A29" s="6" t="s">
        <v>50</v>
      </c>
      <c r="B29" s="1" t="s">
        <v>51</v>
      </c>
      <c r="C29" s="2">
        <v>1511148</v>
      </c>
      <c r="D29" s="2">
        <v>1074128</v>
      </c>
      <c r="E29" s="2">
        <f>VLOOKUP(B29,'[1]1 July 22 to 30 June 23'!$C$3:$D$50,2,FALSE)</f>
        <v>304463</v>
      </c>
      <c r="F29" s="3">
        <f t="shared" si="0"/>
        <v>2889739</v>
      </c>
      <c r="G29" s="3">
        <f>VLOOKUP(B29,'[2]3yr Average'!$A$3:$B$65,2,FALSE)</f>
        <v>7373</v>
      </c>
      <c r="H29" s="4">
        <f t="shared" si="1"/>
        <v>2.5514414969656429E-3</v>
      </c>
      <c r="I29" s="10">
        <v>0.01</v>
      </c>
    </row>
    <row r="30" spans="1:9">
      <c r="A30" s="6">
        <v>300</v>
      </c>
      <c r="B30" s="1" t="s">
        <v>52</v>
      </c>
      <c r="C30" s="2">
        <v>262416873</v>
      </c>
      <c r="D30" s="2">
        <v>323627931</v>
      </c>
      <c r="E30" s="2">
        <f>VLOOKUP(B30,'[1]1 July 22 to 30 June 23'!$C$3:$D$50,2,FALSE)</f>
        <v>329640480</v>
      </c>
      <c r="F30" s="3">
        <f t="shared" si="0"/>
        <v>915685284</v>
      </c>
      <c r="G30" s="3">
        <f>VLOOKUP(B30,'[2]3yr Average'!$A$3:$B$65,2,FALSE)</f>
        <v>6832557</v>
      </c>
      <c r="H30" s="4">
        <f t="shared" si="1"/>
        <v>7.4616870221537821E-3</v>
      </c>
      <c r="I30" s="10">
        <v>0.01</v>
      </c>
    </row>
    <row r="31" spans="1:9">
      <c r="A31" s="6" t="s">
        <v>53</v>
      </c>
      <c r="B31" s="1" t="s">
        <v>54</v>
      </c>
      <c r="C31" s="2">
        <v>1392137614</v>
      </c>
      <c r="D31" s="2">
        <v>1377536586</v>
      </c>
      <c r="E31" s="2">
        <f>VLOOKUP(B31,'[1]1 July 22 to 30 June 23'!$C$3:$D$50,2,FALSE)</f>
        <v>1817821585</v>
      </c>
      <c r="F31" s="3">
        <f t="shared" si="0"/>
        <v>4587495785</v>
      </c>
      <c r="G31" s="3">
        <f>VLOOKUP(B31,'[2]3yr Average'!$A$3:$B$65,2,FALSE)</f>
        <v>5674209</v>
      </c>
      <c r="H31" s="4">
        <f t="shared" si="1"/>
        <v>1.2368859320924695E-3</v>
      </c>
      <c r="I31" s="10">
        <v>0.01</v>
      </c>
    </row>
    <row r="32" spans="1:9">
      <c r="A32" s="6">
        <v>305</v>
      </c>
      <c r="B32" s="1" t="s">
        <v>55</v>
      </c>
      <c r="C32" s="2">
        <v>16789494</v>
      </c>
      <c r="D32" s="2">
        <v>14669137</v>
      </c>
      <c r="E32" s="2">
        <f>VLOOKUP(B32,'[1]1 July 22 to 30 June 23'!$C$3:$D$50,2,FALSE)</f>
        <v>19306419</v>
      </c>
      <c r="F32" s="3">
        <f t="shared" si="0"/>
        <v>50765050</v>
      </c>
      <c r="G32" s="3">
        <f>VLOOKUP(B32,'[2]3yr Average'!$A$3:$B$65,2,FALSE)</f>
        <v>1488741</v>
      </c>
      <c r="H32" s="4">
        <f t="shared" si="1"/>
        <v>2.932610132364688E-2</v>
      </c>
      <c r="I32" s="10">
        <v>0.05</v>
      </c>
    </row>
    <row r="33" spans="1:9">
      <c r="A33" s="6">
        <v>477</v>
      </c>
      <c r="B33" s="1" t="s">
        <v>56</v>
      </c>
      <c r="C33" s="2">
        <v>57939660</v>
      </c>
      <c r="D33" s="2">
        <v>63191383</v>
      </c>
      <c r="E33" s="2">
        <f>VLOOKUP(B33,'[1]1 July 22 to 30 June 23'!$C$3:$D$50,2,FALSE)</f>
        <v>98723655</v>
      </c>
      <c r="F33" s="3">
        <f t="shared" si="0"/>
        <v>219854698</v>
      </c>
      <c r="G33" s="3">
        <f>VLOOKUP(B33,'[2]3yr Average'!$A$3:$B$65,2,FALSE)</f>
        <v>2067266</v>
      </c>
      <c r="H33" s="4">
        <f t="shared" si="1"/>
        <v>9.4028738926470422E-3</v>
      </c>
      <c r="I33" s="16">
        <v>1.4999999999999999E-2</v>
      </c>
    </row>
    <row r="34" spans="1:9">
      <c r="A34" s="6" t="s">
        <v>57</v>
      </c>
      <c r="B34" s="1" t="s">
        <v>58</v>
      </c>
      <c r="C34" s="2">
        <v>65659883</v>
      </c>
      <c r="D34" s="2">
        <v>48470995</v>
      </c>
      <c r="E34" s="2">
        <f>VLOOKUP(B34,'[1]1 July 22 to 30 June 23'!$C$3:$D$50,2,FALSE)</f>
        <v>47061770</v>
      </c>
      <c r="F34" s="3">
        <f t="shared" si="0"/>
        <v>161192648</v>
      </c>
      <c r="G34" s="3">
        <f>VLOOKUP(B34,'[2]3yr Average'!$A$3:$B$65,2,FALSE)</f>
        <v>624871</v>
      </c>
      <c r="H34" s="4">
        <f t="shared" si="1"/>
        <v>3.8765477691017273E-3</v>
      </c>
      <c r="I34" s="10">
        <v>0.01</v>
      </c>
    </row>
    <row r="35" spans="1:9">
      <c r="A35" s="6" t="s">
        <v>59</v>
      </c>
      <c r="B35" s="1" t="s">
        <v>60</v>
      </c>
      <c r="C35" s="9">
        <v>0</v>
      </c>
      <c r="D35" s="9">
        <v>0</v>
      </c>
      <c r="E35" s="9">
        <v>0</v>
      </c>
      <c r="F35" s="8">
        <f t="shared" si="0"/>
        <v>0</v>
      </c>
      <c r="G35" s="8">
        <f>VLOOKUP(B35,'[2]3yr Average'!$A$3:$B$65,2,FALSE)</f>
        <v>0</v>
      </c>
      <c r="H35" s="4">
        <v>0</v>
      </c>
      <c r="I35" s="10">
        <v>0.01</v>
      </c>
    </row>
    <row r="36" spans="1:9">
      <c r="A36" s="6" t="s">
        <v>61</v>
      </c>
      <c r="B36" s="1" t="s">
        <v>62</v>
      </c>
      <c r="C36" s="2">
        <v>62537</v>
      </c>
      <c r="D36" s="2">
        <v>353906</v>
      </c>
      <c r="E36" s="2">
        <f>VLOOKUP(B36,'[1]1 July 22 to 30 June 23'!$C$3:$D$50,2,FALSE)</f>
        <v>10927</v>
      </c>
      <c r="F36" s="3">
        <f t="shared" si="0"/>
        <v>427370</v>
      </c>
      <c r="G36" s="3">
        <f>VLOOKUP(B36,'[2]3yr Average'!$A$3:$B$65,2,FALSE)</f>
        <v>1513</v>
      </c>
      <c r="H36" s="4">
        <f t="shared" ref="H36:H45" si="2">G36/F36</f>
        <v>3.5402578561901867E-3</v>
      </c>
      <c r="I36" s="10">
        <v>0.01</v>
      </c>
    </row>
    <row r="37" spans="1:9">
      <c r="A37" s="6" t="s">
        <v>63</v>
      </c>
      <c r="B37" s="1" t="s">
        <v>64</v>
      </c>
      <c r="C37" s="9">
        <v>7433</v>
      </c>
      <c r="D37" s="9">
        <v>6192</v>
      </c>
      <c r="E37" s="9">
        <f>VLOOKUP(B37,'[1]1 July 22 to 30 June 23'!$C$3:$D$50,2,FALSE)</f>
        <v>7073</v>
      </c>
      <c r="F37" s="8">
        <f t="shared" si="0"/>
        <v>20698</v>
      </c>
      <c r="G37" s="8">
        <f>VLOOKUP(B37,'[2]3yr Average'!$A$3:$B$65,2,FALSE)</f>
        <v>0</v>
      </c>
      <c r="H37" s="4">
        <f t="shared" si="2"/>
        <v>0</v>
      </c>
      <c r="I37" s="10">
        <v>0.01</v>
      </c>
    </row>
    <row r="38" spans="1:9">
      <c r="A38" s="6" t="s">
        <v>65</v>
      </c>
      <c r="B38" s="1" t="s">
        <v>66</v>
      </c>
      <c r="C38" s="2">
        <v>290162296</v>
      </c>
      <c r="D38" s="2">
        <v>298816680</v>
      </c>
      <c r="E38" s="2">
        <f>VLOOKUP(B38,'[1]1 July 22 to 30 June 23'!$C$3:$D$50,2,FALSE)</f>
        <v>317252606</v>
      </c>
      <c r="F38" s="3">
        <f t="shared" si="0"/>
        <v>906231582</v>
      </c>
      <c r="G38" s="3">
        <f>VLOOKUP(B38,'[2]3yr Average'!$A$3:$B$65,2,FALSE)</f>
        <v>90567</v>
      </c>
      <c r="H38" s="4">
        <f t="shared" si="2"/>
        <v>9.9938031071620717E-5</v>
      </c>
      <c r="I38" s="10">
        <v>0.01</v>
      </c>
    </row>
    <row r="39" spans="1:9">
      <c r="A39" s="6">
        <v>195</v>
      </c>
      <c r="B39" s="1" t="s">
        <v>67</v>
      </c>
      <c r="C39" s="2">
        <v>158485</v>
      </c>
      <c r="D39" s="2">
        <v>5861440</v>
      </c>
      <c r="E39" s="2">
        <f>VLOOKUP(B39,'[1]1 July 22 to 30 June 23'!$C$3:$D$50,2,FALSE)</f>
        <v>10677476</v>
      </c>
      <c r="F39" s="3">
        <f t="shared" si="0"/>
        <v>16697401</v>
      </c>
      <c r="G39" s="3">
        <f>VLOOKUP(B39,'[2]3yr Average'!$A$3:$B$65,2,FALSE)</f>
        <v>188187</v>
      </c>
      <c r="H39" s="4">
        <f t="shared" si="2"/>
        <v>1.1270436638612201E-2</v>
      </c>
      <c r="I39" s="16">
        <f>(G39*0.2+G39)/F39</f>
        <v>1.3524523966334641E-2</v>
      </c>
    </row>
    <row r="40" spans="1:9">
      <c r="A40" s="6">
        <v>245</v>
      </c>
      <c r="B40" s="1" t="s">
        <v>68</v>
      </c>
      <c r="C40" s="2">
        <v>36622292</v>
      </c>
      <c r="D40" s="2">
        <v>26234379</v>
      </c>
      <c r="E40" s="2">
        <f>VLOOKUP(B40,'[1]1 July 22 to 30 June 23'!$C$3:$D$50,2,FALSE)</f>
        <v>19232891</v>
      </c>
      <c r="F40" s="3">
        <f t="shared" si="0"/>
        <v>82089562</v>
      </c>
      <c r="G40" s="3">
        <f>VLOOKUP(B40,'[2]3yr Average'!$A$3:$B$65,2,FALSE)</f>
        <v>4222514</v>
      </c>
      <c r="H40" s="4">
        <f t="shared" si="2"/>
        <v>5.1437891701748881E-2</v>
      </c>
      <c r="I40" s="16">
        <f>(G40*0.2+G40)/F40</f>
        <v>6.1725470042098649E-2</v>
      </c>
    </row>
    <row r="41" spans="1:9">
      <c r="A41" s="6" t="s">
        <v>69</v>
      </c>
      <c r="B41" s="1" t="s">
        <v>70</v>
      </c>
      <c r="C41" s="2">
        <v>406156</v>
      </c>
      <c r="D41" s="2">
        <v>1611435</v>
      </c>
      <c r="E41" s="2">
        <f>VLOOKUP(B41,'[1]1 July 22 to 30 June 23'!$C$3:$D$50,2,FALSE)</f>
        <v>631729</v>
      </c>
      <c r="F41" s="3">
        <f t="shared" si="0"/>
        <v>2649320</v>
      </c>
      <c r="G41" s="3">
        <f>VLOOKUP(B41,'[2]3yr Average'!$A$3:$B$65,2,FALSE)</f>
        <v>3297</v>
      </c>
      <c r="H41" s="4">
        <f t="shared" si="2"/>
        <v>1.2444702791659747E-3</v>
      </c>
      <c r="I41" s="10">
        <v>0.01</v>
      </c>
    </row>
    <row r="42" spans="1:9">
      <c r="A42" s="6" t="s">
        <v>71</v>
      </c>
      <c r="B42" s="1" t="s">
        <v>72</v>
      </c>
      <c r="C42" s="2">
        <v>36226660</v>
      </c>
      <c r="D42" s="2">
        <v>36413859</v>
      </c>
      <c r="E42" s="2">
        <f>VLOOKUP(B42,'[1]1 July 22 to 30 June 23'!$C$3:$D$50,2,FALSE)</f>
        <v>36617170</v>
      </c>
      <c r="F42" s="3">
        <f t="shared" si="0"/>
        <v>109257689</v>
      </c>
      <c r="G42" s="3">
        <f>VLOOKUP(B42,'[2]3yr Average'!$A$3:$B$65,2,FALSE)</f>
        <v>125067</v>
      </c>
      <c r="H42" s="4">
        <f t="shared" si="2"/>
        <v>1.1446974683859549E-3</v>
      </c>
      <c r="I42" s="10">
        <v>0.01</v>
      </c>
    </row>
    <row r="43" spans="1:9">
      <c r="A43" s="6" t="s">
        <v>73</v>
      </c>
      <c r="B43" s="1" t="s">
        <v>74</v>
      </c>
      <c r="C43" s="9">
        <v>62466</v>
      </c>
      <c r="D43" s="9">
        <v>620766</v>
      </c>
      <c r="E43" s="9">
        <f>VLOOKUP(B43,'[1]1 July 22 to 30 June 23'!$C$3:$D$50,2,FALSE)</f>
        <v>135062</v>
      </c>
      <c r="F43" s="8">
        <f t="shared" si="0"/>
        <v>818294</v>
      </c>
      <c r="G43" s="8">
        <f>VLOOKUP(B43,'[2]3yr Average'!$A$3:$B$65,2,FALSE)</f>
        <v>0</v>
      </c>
      <c r="H43" s="4">
        <f t="shared" si="2"/>
        <v>0</v>
      </c>
      <c r="I43" s="10">
        <v>0.01</v>
      </c>
    </row>
    <row r="44" spans="1:9">
      <c r="A44" s="6">
        <v>229</v>
      </c>
      <c r="B44" s="1" t="s">
        <v>75</v>
      </c>
      <c r="C44" s="2">
        <v>0</v>
      </c>
      <c r="D44" s="2">
        <v>1256183</v>
      </c>
      <c r="E44" s="2">
        <f>VLOOKUP(B44,'[1]1 July 22 to 30 June 23'!$C$3:$D$50,2,FALSE)</f>
        <v>2219294</v>
      </c>
      <c r="F44" s="3">
        <f t="shared" si="0"/>
        <v>3475477</v>
      </c>
      <c r="G44" s="3">
        <f>VLOOKUP(B44,'[2]3yr Average'!$A$3:$B$65,2,FALSE)</f>
        <v>24398</v>
      </c>
      <c r="H44" s="4">
        <f t="shared" si="2"/>
        <v>7.0200435796295016E-3</v>
      </c>
      <c r="I44" s="10">
        <v>0.01</v>
      </c>
    </row>
    <row r="45" spans="1:9">
      <c r="A45" s="6" t="s">
        <v>76</v>
      </c>
      <c r="B45" s="1" t="s">
        <v>77</v>
      </c>
      <c r="C45" s="2">
        <v>18952</v>
      </c>
      <c r="D45" s="2">
        <v>413266</v>
      </c>
      <c r="E45" s="2">
        <f>VLOOKUP(B45,'[1]1 July 22 to 30 June 23'!$C$3:$D$50,2,FALSE)</f>
        <v>21567</v>
      </c>
      <c r="F45" s="3">
        <f t="shared" si="0"/>
        <v>453785</v>
      </c>
      <c r="G45" s="3">
        <f>VLOOKUP(B45,'[2]3yr Average'!$A$3:$B$65,2,FALSE)</f>
        <v>1168</v>
      </c>
      <c r="H45" s="4">
        <f t="shared" si="2"/>
        <v>2.5739061449805527E-3</v>
      </c>
      <c r="I45" s="10">
        <v>0.01</v>
      </c>
    </row>
    <row r="46" spans="1:9">
      <c r="A46" s="17">
        <v>100</v>
      </c>
      <c r="B46" s="1" t="s">
        <v>78</v>
      </c>
      <c r="C46" s="9">
        <v>2777.83</v>
      </c>
      <c r="D46" s="9">
        <v>2340.46</v>
      </c>
      <c r="E46" s="9">
        <v>4232</v>
      </c>
      <c r="F46" s="9">
        <v>9350.2900000000009</v>
      </c>
      <c r="G46" s="8">
        <v>0</v>
      </c>
      <c r="H46" s="14"/>
      <c r="I46" s="10">
        <v>0.01</v>
      </c>
    </row>
    <row r="47" spans="1:9">
      <c r="A47" s="6" t="s">
        <v>79</v>
      </c>
      <c r="B47" s="1" t="s">
        <v>80</v>
      </c>
      <c r="C47" s="2">
        <v>24601466</v>
      </c>
      <c r="D47" s="2">
        <v>17253952</v>
      </c>
      <c r="E47" s="2">
        <v>16651052</v>
      </c>
      <c r="F47" s="3">
        <f t="shared" ref="F47:F52" si="3">SUM(C47:E47)</f>
        <v>58506470</v>
      </c>
      <c r="G47" s="3">
        <f>VLOOKUP(B47,'[2]3yr Average'!$A$3:$B$65,2,FALSE)</f>
        <v>42605</v>
      </c>
      <c r="H47" s="4">
        <f>G47/F47</f>
        <v>7.2821005950282082E-4</v>
      </c>
      <c r="I47" s="10">
        <v>0.01</v>
      </c>
    </row>
    <row r="48" spans="1:9">
      <c r="A48" s="6" t="s">
        <v>81</v>
      </c>
      <c r="B48" s="1" t="s">
        <v>82</v>
      </c>
      <c r="C48" s="9">
        <v>1292909</v>
      </c>
      <c r="D48" s="9">
        <v>1589792</v>
      </c>
      <c r="E48" s="9">
        <v>2455560</v>
      </c>
      <c r="F48" s="8">
        <f t="shared" si="3"/>
        <v>5338261</v>
      </c>
      <c r="G48" s="8">
        <v>42742</v>
      </c>
      <c r="H48" s="4">
        <f>G48/F48</f>
        <v>8.0067272844096607E-3</v>
      </c>
      <c r="I48" s="10">
        <v>0.01</v>
      </c>
    </row>
    <row r="49" spans="1:9">
      <c r="A49" s="6" t="s">
        <v>83</v>
      </c>
      <c r="B49" s="1" t="s">
        <v>84</v>
      </c>
      <c r="C49" s="9">
        <v>4309197</v>
      </c>
      <c r="D49" s="9">
        <v>1804649</v>
      </c>
      <c r="E49" s="9">
        <v>94396</v>
      </c>
      <c r="F49" s="8">
        <f t="shared" si="3"/>
        <v>6208242</v>
      </c>
      <c r="G49" s="8">
        <v>1218</v>
      </c>
      <c r="H49" s="4">
        <v>0</v>
      </c>
      <c r="I49" s="10">
        <v>0.01</v>
      </c>
    </row>
    <row r="50" spans="1:9">
      <c r="A50" s="6">
        <v>351</v>
      </c>
      <c r="B50" s="1" t="s">
        <v>85</v>
      </c>
      <c r="C50" s="2">
        <v>1640505</v>
      </c>
      <c r="D50" s="2">
        <v>2241707</v>
      </c>
      <c r="E50" s="2">
        <f>VLOOKUP(B50,'[1]1 July 22 to 30 June 23'!$C$3:$D$50,2,FALSE)</f>
        <v>185699</v>
      </c>
      <c r="F50" s="3">
        <f t="shared" si="3"/>
        <v>4067911</v>
      </c>
      <c r="G50" s="3">
        <f>VLOOKUP(B50,'[2]3yr Average'!$A$3:$B$65,2,FALSE)</f>
        <v>639361</v>
      </c>
      <c r="H50" s="4">
        <f>G50/F50</f>
        <v>0.15717182603060884</v>
      </c>
      <c r="I50" s="10">
        <v>0.01</v>
      </c>
    </row>
    <row r="51" spans="1:9">
      <c r="A51" s="6" t="s">
        <v>86</v>
      </c>
      <c r="B51" s="1" t="s">
        <v>87</v>
      </c>
      <c r="C51" s="9">
        <v>24318</v>
      </c>
      <c r="D51" s="9">
        <v>2127291</v>
      </c>
      <c r="E51" s="9">
        <f>VLOOKUP(B51,'[1]1 July 22 to 30 June 23'!$C$3:$D$50,2,FALSE)</f>
        <v>33749</v>
      </c>
      <c r="F51" s="8">
        <f t="shared" si="3"/>
        <v>2185358</v>
      </c>
      <c r="G51" s="8">
        <f>VLOOKUP(B51,'[2]3yr Average'!$A$3:$B$65,2,FALSE)</f>
        <v>0</v>
      </c>
      <c r="H51" s="4">
        <f>G51/F51</f>
        <v>0</v>
      </c>
      <c r="I51" s="10">
        <v>0.01</v>
      </c>
    </row>
    <row r="52" spans="1:9">
      <c r="A52" s="6" t="s">
        <v>88</v>
      </c>
      <c r="B52" s="1" t="s">
        <v>89</v>
      </c>
      <c r="C52" s="9">
        <v>103615</v>
      </c>
      <c r="D52" s="9">
        <v>2694852</v>
      </c>
      <c r="E52" s="9">
        <v>1774653</v>
      </c>
      <c r="F52" s="8">
        <f t="shared" si="3"/>
        <v>4573120</v>
      </c>
      <c r="G52" s="8">
        <v>1215</v>
      </c>
      <c r="H52" s="4">
        <v>0</v>
      </c>
      <c r="I52" s="10">
        <v>0.01</v>
      </c>
    </row>
    <row r="53" spans="1:9">
      <c r="A53" s="6" t="s">
        <v>90</v>
      </c>
      <c r="B53" s="1" t="s">
        <v>91</v>
      </c>
      <c r="C53" s="14"/>
      <c r="D53" s="14"/>
      <c r="E53" s="14"/>
      <c r="F53" s="14"/>
      <c r="G53" s="14"/>
      <c r="H53" s="14"/>
      <c r="I53" s="10">
        <v>0.05</v>
      </c>
    </row>
    <row r="54" spans="1:9">
      <c r="A54" s="6">
        <v>395</v>
      </c>
      <c r="B54" s="1" t="s">
        <v>92</v>
      </c>
      <c r="C54" s="2">
        <v>3331665</v>
      </c>
      <c r="D54" s="2">
        <v>1779497</v>
      </c>
      <c r="E54" s="2">
        <f>VLOOKUP(B54,'[1]1 July 22 to 30 June 23'!$C$3:$D$50,2,FALSE)</f>
        <v>3856669</v>
      </c>
      <c r="F54" s="3">
        <f>SUM(C54:E54)</f>
        <v>8967831</v>
      </c>
      <c r="G54" s="3">
        <f>VLOOKUP(B54,'[2]3yr Average'!$A$3:$B$65,2,FALSE)</f>
        <v>179026</v>
      </c>
      <c r="H54" s="4">
        <f>G54/F54</f>
        <v>1.996313266831188E-2</v>
      </c>
      <c r="I54" s="16">
        <f>(G54*0.2+G54)/F54</f>
        <v>2.3955759201974257E-2</v>
      </c>
    </row>
    <row r="55" spans="1:9">
      <c r="A55" s="17">
        <v>465</v>
      </c>
      <c r="B55" s="1" t="s">
        <v>93</v>
      </c>
      <c r="C55" s="14"/>
      <c r="D55" s="14"/>
      <c r="E55" s="14"/>
      <c r="F55" s="14"/>
      <c r="G55" s="14"/>
      <c r="H55" s="14"/>
      <c r="I55" s="22">
        <v>4.4000000000000003E-3</v>
      </c>
    </row>
    <row r="56" spans="1:9">
      <c r="A56" s="11">
        <v>225</v>
      </c>
      <c r="B56" s="23" t="s">
        <v>94</v>
      </c>
      <c r="C56" s="19">
        <v>50295212</v>
      </c>
      <c r="D56" s="19">
        <v>51890931</v>
      </c>
      <c r="E56" s="19">
        <f>VLOOKUP(B56,'[1]1 July 22 to 30 June 23'!$C$3:$D$50,2,FALSE)</f>
        <v>70046637</v>
      </c>
      <c r="F56" s="20">
        <f>SUM(C56:E56)</f>
        <v>172232780</v>
      </c>
      <c r="G56" s="20">
        <f>VLOOKUP(B56,'[2]3yr Average'!$A$3:$B$65,2,FALSE)</f>
        <v>1929192</v>
      </c>
      <c r="H56" s="12">
        <f>G56/F56</f>
        <v>1.1201073338071882E-2</v>
      </c>
      <c r="I56" s="21">
        <v>1.4E-2</v>
      </c>
    </row>
    <row r="57" spans="1:9">
      <c r="A57" s="6" t="s">
        <v>95</v>
      </c>
      <c r="B57" s="1" t="s">
        <v>96</v>
      </c>
      <c r="C57" s="9">
        <v>2586461</v>
      </c>
      <c r="D57" s="9">
        <v>3074215</v>
      </c>
      <c r="E57" s="9">
        <v>4435198</v>
      </c>
      <c r="F57" s="8">
        <f>SUM(C57:E57)</f>
        <v>10095874</v>
      </c>
      <c r="G57" s="8">
        <v>22800</v>
      </c>
      <c r="H57" s="4">
        <f>G57/F57</f>
        <v>2.2583483113992903E-3</v>
      </c>
      <c r="I57" s="13">
        <v>0.01</v>
      </c>
    </row>
    <row r="58" spans="1:9">
      <c r="A58" s="6" t="s">
        <v>97</v>
      </c>
      <c r="B58" s="1" t="s">
        <v>98</v>
      </c>
      <c r="C58" s="2">
        <v>1204318</v>
      </c>
      <c r="D58" s="2">
        <v>581744</v>
      </c>
      <c r="E58" s="2">
        <f>VLOOKUP(B58,'[1]1 July 22 to 30 June 23'!$C$3:$D$50,2,FALSE)</f>
        <v>730483</v>
      </c>
      <c r="F58" s="3">
        <f>SUM(C58:E58)</f>
        <v>2516545</v>
      </c>
      <c r="G58" s="3">
        <f>VLOOKUP(B58,'[2]3yr Average'!$A$3:$B$65,2,FALSE)</f>
        <v>585</v>
      </c>
      <c r="H58" s="4">
        <f>G58/F58</f>
        <v>2.3246156933414661E-4</v>
      </c>
      <c r="I58" s="10">
        <v>0.05</v>
      </c>
    </row>
    <row r="59" spans="1:9" ht="28.9">
      <c r="A59" s="6" t="s">
        <v>99</v>
      </c>
      <c r="B59" s="1" t="s">
        <v>100</v>
      </c>
      <c r="C59" s="9">
        <v>25347</v>
      </c>
      <c r="D59" s="9">
        <v>157343</v>
      </c>
      <c r="E59" s="9">
        <v>28259</v>
      </c>
      <c r="F59" s="8">
        <f>SUM(C59:E59)</f>
        <v>210949</v>
      </c>
      <c r="G59" s="8">
        <v>0</v>
      </c>
      <c r="H59" s="4">
        <v>0</v>
      </c>
      <c r="I59" s="10">
        <v>0.01</v>
      </c>
    </row>
    <row r="60" spans="1:9">
      <c r="B60" s="71"/>
    </row>
    <row r="61" spans="1:9">
      <c r="B61" s="71"/>
    </row>
    <row r="62" spans="1:9">
      <c r="B62" s="71">
        <v>55</v>
      </c>
      <c r="C62" t="s">
        <v>101</v>
      </c>
    </row>
    <row r="63" spans="1:9">
      <c r="B63" s="71">
        <v>28</v>
      </c>
      <c r="C63" t="s">
        <v>102</v>
      </c>
    </row>
    <row r="64" spans="1:9">
      <c r="B64" s="71">
        <f>B62-B63</f>
        <v>27</v>
      </c>
      <c r="C64" t="s">
        <v>103</v>
      </c>
    </row>
    <row r="65" spans="2:8">
      <c r="B65" s="18" t="s">
        <v>104</v>
      </c>
      <c r="C65" t="s">
        <v>105</v>
      </c>
    </row>
    <row r="66" spans="2:8">
      <c r="B66" s="71"/>
    </row>
    <row r="67" spans="2:8">
      <c r="B67" s="71"/>
    </row>
    <row r="68" spans="2:8">
      <c r="B68" s="71"/>
    </row>
    <row r="69" spans="2:8">
      <c r="B69" s="71"/>
    </row>
    <row r="70" spans="2:8" ht="15" customHeight="1"/>
    <row r="71" spans="2:8" ht="42.75" customHeight="1">
      <c r="B71" s="135" t="s">
        <v>106</v>
      </c>
      <c r="C71" s="136"/>
      <c r="D71" s="136"/>
      <c r="E71" s="136"/>
      <c r="F71" s="136"/>
      <c r="G71" s="136"/>
      <c r="H71" s="136"/>
    </row>
    <row r="72" spans="2:8">
      <c r="B72" s="71" t="s">
        <v>107</v>
      </c>
    </row>
    <row r="73" spans="2:8">
      <c r="B73" s="71" t="s">
        <v>108</v>
      </c>
    </row>
    <row r="74" spans="2:8">
      <c r="B74" s="71" t="s">
        <v>109</v>
      </c>
    </row>
    <row r="75" spans="2:8">
      <c r="B75" s="71" t="s">
        <v>110</v>
      </c>
    </row>
    <row r="76" spans="2:8">
      <c r="B76" s="71" t="s">
        <v>111</v>
      </c>
    </row>
    <row r="77" spans="2:8">
      <c r="B77" s="71" t="s">
        <v>112</v>
      </c>
    </row>
    <row r="78" spans="2:8">
      <c r="B78" s="71" t="s">
        <v>113</v>
      </c>
    </row>
    <row r="79" spans="2:8">
      <c r="B79" s="71" t="s">
        <v>114</v>
      </c>
    </row>
  </sheetData>
  <autoFilter ref="A4:I4" xr:uid="{BB64EF6A-F13C-4AF5-BC81-342559636904}">
    <sortState xmlns:xlrd2="http://schemas.microsoft.com/office/spreadsheetml/2017/richdata2" ref="A5:I59">
      <sortCondition ref="B4"/>
    </sortState>
  </autoFilter>
  <sortState xmlns:xlrd2="http://schemas.microsoft.com/office/spreadsheetml/2017/richdata2" ref="A5:I56">
    <sortCondition descending="1" ref="H5:H56"/>
  </sortState>
  <mergeCells count="3">
    <mergeCell ref="B71:H71"/>
    <mergeCell ref="B1:G1"/>
    <mergeCell ref="B2:G2"/>
  </mergeCells>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56CD-5A99-451B-AB48-E941AC92F671}">
  <dimension ref="A1:AG81"/>
  <sheetViews>
    <sheetView tabSelected="1" zoomScaleNormal="100" workbookViewId="0">
      <pane xSplit="2" ySplit="4" topLeftCell="P5" activePane="bottomRight" state="frozen"/>
      <selection pane="bottomRight" activeCell="S70" sqref="S70"/>
      <selection pane="bottomLeft" activeCell="A5" sqref="A5"/>
      <selection pane="topRight" activeCell="C1" sqref="C1"/>
    </sheetView>
  </sheetViews>
  <sheetFormatPr defaultRowHeight="14.45"/>
  <cols>
    <col min="1" max="1" width="19.85546875" bestFit="1" customWidth="1"/>
    <col min="2" max="2" width="48.28515625" bestFit="1" customWidth="1"/>
    <col min="3" max="3" width="17.5703125" hidden="1" customWidth="1"/>
    <col min="4" max="5" width="14.7109375" hidden="1" customWidth="1"/>
    <col min="6" max="6" width="9.7109375" hidden="1" customWidth="1"/>
    <col min="7" max="7" width="20.85546875" hidden="1" customWidth="1"/>
    <col min="8" max="8" width="18.140625" hidden="1" customWidth="1"/>
    <col min="9" max="9" width="13.140625" hidden="1" customWidth="1"/>
    <col min="10" max="10" width="3.28515625" hidden="1" customWidth="1"/>
    <col min="11" max="11" width="15.28515625" hidden="1" customWidth="1"/>
    <col min="12" max="12" width="9" hidden="1" customWidth="1"/>
    <col min="13" max="13" width="12.7109375" hidden="1" customWidth="1"/>
    <col min="14" max="14" width="10.140625" hidden="1" customWidth="1"/>
    <col min="15" max="15" width="2.7109375" hidden="1" customWidth="1"/>
    <col min="16" max="16" width="9.7109375" customWidth="1"/>
    <col min="17" max="17" width="17.42578125" customWidth="1"/>
    <col min="18" max="18" width="15.28515625" customWidth="1"/>
    <col min="19" max="19" width="9" customWidth="1"/>
    <col min="20" max="20" width="12.7109375" customWidth="1"/>
    <col min="21" max="21" width="11.7109375" customWidth="1"/>
    <col min="22" max="22" width="2.7109375" customWidth="1"/>
    <col min="23" max="23" width="9.28515625" customWidth="1"/>
    <col min="24" max="24" width="16" customWidth="1"/>
    <col min="25" max="25" width="14.85546875" customWidth="1"/>
    <col min="26" max="26" width="10.140625" customWidth="1"/>
    <col min="27" max="27" width="15.5703125" customWidth="1"/>
    <col min="28" max="28" width="13" customWidth="1"/>
    <col min="29" max="29" width="15.140625" customWidth="1"/>
    <col min="30" max="30" width="12" customWidth="1"/>
    <col min="33" max="33" width="48.85546875" customWidth="1"/>
    <col min="34" max="34" width="29.42578125" customWidth="1"/>
    <col min="35" max="35" width="42.28515625" customWidth="1"/>
  </cols>
  <sheetData>
    <row r="1" spans="1:33" ht="31.9" customHeight="1">
      <c r="A1" s="141" t="s">
        <v>115</v>
      </c>
      <c r="B1" s="141"/>
      <c r="C1" s="134"/>
      <c r="D1" s="134"/>
      <c r="E1" s="134"/>
      <c r="F1" s="134"/>
      <c r="H1" s="134"/>
      <c r="I1" s="142"/>
      <c r="J1" s="142"/>
      <c r="K1" s="142"/>
      <c r="L1" s="142"/>
      <c r="M1" s="142"/>
      <c r="N1" s="142"/>
      <c r="O1" s="142"/>
      <c r="P1" s="142"/>
      <c r="Q1" s="142"/>
      <c r="R1" s="142"/>
      <c r="S1" s="142"/>
      <c r="T1" s="142"/>
      <c r="U1" s="142"/>
      <c r="V1" s="142"/>
      <c r="W1" s="142"/>
      <c r="X1" s="142"/>
      <c r="Y1" s="142"/>
      <c r="Z1" s="142"/>
      <c r="AA1" s="142"/>
      <c r="AB1" s="142"/>
      <c r="AC1" s="142"/>
      <c r="AD1" s="142"/>
    </row>
    <row r="2" spans="1:33" ht="31.9" customHeight="1">
      <c r="A2" s="141"/>
      <c r="B2" s="141"/>
      <c r="C2" s="31"/>
      <c r="D2" s="31"/>
      <c r="E2" s="31"/>
      <c r="F2" s="31"/>
      <c r="H2" s="134"/>
      <c r="I2" s="142"/>
      <c r="J2" s="150" t="s">
        <v>116</v>
      </c>
      <c r="K2" s="151"/>
      <c r="L2" s="151"/>
      <c r="M2" s="151"/>
      <c r="N2" s="151"/>
      <c r="O2" s="152"/>
      <c r="P2" s="150" t="s">
        <v>117</v>
      </c>
      <c r="Q2" s="151"/>
      <c r="R2" s="151"/>
      <c r="S2" s="151"/>
      <c r="T2" s="151"/>
      <c r="U2" s="151"/>
      <c r="V2" s="152"/>
      <c r="W2" s="144" t="s">
        <v>118</v>
      </c>
      <c r="X2" s="145"/>
      <c r="Y2" s="145"/>
      <c r="Z2" s="145"/>
      <c r="AA2" s="145"/>
      <c r="AB2" s="143"/>
      <c r="AC2" s="143"/>
      <c r="AD2" s="143"/>
    </row>
    <row r="3" spans="1:33" ht="1.9" customHeight="1">
      <c r="A3" s="141"/>
      <c r="B3" s="141"/>
      <c r="C3" s="134"/>
      <c r="D3" s="134"/>
      <c r="E3" s="134"/>
      <c r="F3" s="134"/>
      <c r="G3" s="134"/>
      <c r="H3" s="134"/>
      <c r="I3" s="138"/>
      <c r="J3" s="153"/>
      <c r="K3" s="154"/>
      <c r="L3" s="154"/>
      <c r="M3" s="154"/>
      <c r="N3" s="154"/>
      <c r="O3" s="155"/>
      <c r="P3" s="153"/>
      <c r="Q3" s="154"/>
      <c r="R3" s="154"/>
      <c r="S3" s="154"/>
      <c r="T3" s="154"/>
      <c r="U3" s="154"/>
      <c r="V3" s="155"/>
      <c r="W3" s="146"/>
      <c r="X3" s="147"/>
      <c r="Y3" s="147"/>
      <c r="Z3" s="147"/>
      <c r="AA3" s="147"/>
      <c r="AB3" s="143"/>
      <c r="AC3" s="143"/>
      <c r="AD3" s="143"/>
    </row>
    <row r="4" spans="1:33" ht="71.45" customHeight="1">
      <c r="A4" s="87" t="s">
        <v>2</v>
      </c>
      <c r="B4" s="88" t="s">
        <v>3</v>
      </c>
      <c r="C4" s="7" t="s">
        <v>119</v>
      </c>
      <c r="D4" s="7" t="s">
        <v>120</v>
      </c>
      <c r="E4" s="1" t="s">
        <v>121</v>
      </c>
      <c r="F4" s="7" t="s">
        <v>122</v>
      </c>
      <c r="G4" s="7" t="s">
        <v>123</v>
      </c>
      <c r="H4" s="7" t="s">
        <v>124</v>
      </c>
      <c r="I4" s="35" t="s">
        <v>125</v>
      </c>
      <c r="J4" s="33"/>
      <c r="K4" s="36" t="s">
        <v>126</v>
      </c>
      <c r="L4" s="34" t="s">
        <v>122</v>
      </c>
      <c r="M4" s="34" t="s">
        <v>123</v>
      </c>
      <c r="N4" s="54" t="s">
        <v>127</v>
      </c>
      <c r="O4" s="148"/>
      <c r="P4" s="33"/>
      <c r="Q4" s="36" t="s">
        <v>128</v>
      </c>
      <c r="R4" s="36" t="s">
        <v>129</v>
      </c>
      <c r="S4" s="34" t="s">
        <v>122</v>
      </c>
      <c r="T4" s="34" t="s">
        <v>123</v>
      </c>
      <c r="U4" s="54" t="s">
        <v>130</v>
      </c>
      <c r="V4" s="148"/>
      <c r="W4" s="121"/>
      <c r="X4" s="50" t="s">
        <v>131</v>
      </c>
      <c r="Y4" s="50" t="s">
        <v>132</v>
      </c>
      <c r="Z4" s="50" t="s">
        <v>122</v>
      </c>
      <c r="AA4" s="50" t="s">
        <v>133</v>
      </c>
      <c r="AB4" s="37" t="s">
        <v>134</v>
      </c>
      <c r="AC4" s="133" t="s">
        <v>10</v>
      </c>
      <c r="AD4" s="79" t="s">
        <v>135</v>
      </c>
      <c r="AE4" s="79" t="s">
        <v>136</v>
      </c>
    </row>
    <row r="5" spans="1:33" ht="15">
      <c r="A5" s="89" t="s">
        <v>11</v>
      </c>
      <c r="B5" s="90" t="s">
        <v>137</v>
      </c>
      <c r="C5" s="39">
        <v>4170217</v>
      </c>
      <c r="D5" s="39">
        <v>80304</v>
      </c>
      <c r="E5" s="39">
        <f t="shared" ref="E5:E35" si="0">SUM(C5:D5)</f>
        <v>4250521</v>
      </c>
      <c r="F5" s="32">
        <v>1</v>
      </c>
      <c r="G5" s="46">
        <v>1965</v>
      </c>
      <c r="H5" s="46">
        <v>0</v>
      </c>
      <c r="I5" s="58">
        <v>5.0000000000000001E-4</v>
      </c>
      <c r="J5" s="66"/>
      <c r="K5" s="61">
        <v>9081850</v>
      </c>
      <c r="L5" s="32">
        <v>1</v>
      </c>
      <c r="M5" s="46">
        <v>1832</v>
      </c>
      <c r="N5" s="55">
        <v>2.0000000000000001E-4</v>
      </c>
      <c r="O5" s="148"/>
      <c r="P5" s="66"/>
      <c r="Q5" s="61">
        <v>4974541</v>
      </c>
      <c r="R5" s="61">
        <v>105454</v>
      </c>
      <c r="S5" s="32">
        <v>1</v>
      </c>
      <c r="T5" s="46">
        <v>3834</v>
      </c>
      <c r="U5" s="55">
        <f>T5/(Q5+R5)</f>
        <v>7.5472515228853577E-4</v>
      </c>
      <c r="V5" s="148"/>
      <c r="W5" s="159"/>
      <c r="X5" s="51">
        <v>20509215</v>
      </c>
      <c r="Y5" s="51">
        <v>318004</v>
      </c>
      <c r="Z5" s="99">
        <v>1</v>
      </c>
      <c r="AA5" s="51">
        <v>8852</v>
      </c>
      <c r="AB5" s="38">
        <f>AA5/(X5+Y5)</f>
        <v>4.2502073848649691E-4</v>
      </c>
      <c r="AC5" s="73">
        <v>0.01</v>
      </c>
      <c r="AD5" s="80" t="s">
        <v>138</v>
      </c>
      <c r="AE5" s="10">
        <v>0.01</v>
      </c>
      <c r="AG5" s="82"/>
    </row>
    <row r="6" spans="1:33" ht="15">
      <c r="A6" s="91">
        <v>387</v>
      </c>
      <c r="B6" s="92" t="s">
        <v>139</v>
      </c>
      <c r="C6" s="40">
        <v>1008905</v>
      </c>
      <c r="D6" s="40">
        <v>16942</v>
      </c>
      <c r="E6" s="40">
        <f t="shared" si="0"/>
        <v>1025847</v>
      </c>
      <c r="F6" s="24">
        <v>0</v>
      </c>
      <c r="G6" s="47">
        <v>0</v>
      </c>
      <c r="H6" s="47">
        <v>0</v>
      </c>
      <c r="I6" s="59">
        <v>0</v>
      </c>
      <c r="J6" s="66"/>
      <c r="K6" s="62">
        <v>812932</v>
      </c>
      <c r="L6" s="24">
        <v>0</v>
      </c>
      <c r="M6" s="47">
        <v>0</v>
      </c>
      <c r="N6" s="56">
        <v>0</v>
      </c>
      <c r="O6" s="148"/>
      <c r="P6" s="66"/>
      <c r="Q6" s="62">
        <v>851926</v>
      </c>
      <c r="R6" s="62">
        <v>52753</v>
      </c>
      <c r="S6" s="24">
        <v>0</v>
      </c>
      <c r="T6" s="47">
        <v>0</v>
      </c>
      <c r="U6" s="55">
        <f t="shared" ref="U6:U58" si="1">T6/(Q6+R6)</f>
        <v>0</v>
      </c>
      <c r="V6" s="148"/>
      <c r="W6" s="160"/>
      <c r="X6" s="51">
        <v>3297365</v>
      </c>
      <c r="Y6" s="52">
        <v>103847</v>
      </c>
      <c r="Z6" s="99">
        <v>1</v>
      </c>
      <c r="AA6" s="51">
        <v>1143</v>
      </c>
      <c r="AB6" s="38">
        <f t="shared" ref="AB6:AB58" si="2">AA6/(X6+Y6)</f>
        <v>3.3605667626716596E-4</v>
      </c>
      <c r="AC6" s="74">
        <v>8.4177890440684716E-2</v>
      </c>
      <c r="AD6" s="80" t="s">
        <v>138</v>
      </c>
      <c r="AE6" s="10">
        <v>0.01</v>
      </c>
    </row>
    <row r="7" spans="1:33" ht="15">
      <c r="A7" s="91" t="s">
        <v>14</v>
      </c>
      <c r="B7" s="92" t="s">
        <v>140</v>
      </c>
      <c r="C7" s="40">
        <v>71967</v>
      </c>
      <c r="D7" s="40">
        <v>2089</v>
      </c>
      <c r="E7" s="40">
        <f t="shared" si="0"/>
        <v>74056</v>
      </c>
      <c r="F7" s="24">
        <v>0</v>
      </c>
      <c r="G7" s="48">
        <v>0</v>
      </c>
      <c r="H7" s="47">
        <v>0</v>
      </c>
      <c r="I7" s="59">
        <v>0</v>
      </c>
      <c r="J7" s="66"/>
      <c r="K7" s="62">
        <v>85978</v>
      </c>
      <c r="L7" s="24">
        <v>0</v>
      </c>
      <c r="M7" s="48">
        <v>0</v>
      </c>
      <c r="N7" s="56">
        <v>0</v>
      </c>
      <c r="O7" s="148"/>
      <c r="P7" s="66"/>
      <c r="Q7" s="62">
        <v>80014</v>
      </c>
      <c r="R7" s="62">
        <v>725</v>
      </c>
      <c r="S7" s="24">
        <v>0</v>
      </c>
      <c r="T7" s="48">
        <v>0</v>
      </c>
      <c r="U7" s="55">
        <f t="shared" si="1"/>
        <v>0</v>
      </c>
      <c r="V7" s="148"/>
      <c r="W7" s="160"/>
      <c r="X7" s="51">
        <v>306584</v>
      </c>
      <c r="Y7" s="52">
        <v>4675</v>
      </c>
      <c r="Z7" s="99">
        <v>0</v>
      </c>
      <c r="AA7" s="51">
        <v>0</v>
      </c>
      <c r="AB7" s="38">
        <f t="shared" si="2"/>
        <v>0</v>
      </c>
      <c r="AC7" s="75">
        <v>0.01</v>
      </c>
      <c r="AD7" s="80" t="s">
        <v>138</v>
      </c>
      <c r="AE7" s="10">
        <v>0.01</v>
      </c>
    </row>
    <row r="8" spans="1:33" ht="15">
      <c r="A8" s="91">
        <v>190</v>
      </c>
      <c r="B8" s="92" t="s">
        <v>16</v>
      </c>
      <c r="C8" s="40">
        <v>582867</v>
      </c>
      <c r="D8" s="40">
        <v>26180</v>
      </c>
      <c r="E8" s="40">
        <f t="shared" si="0"/>
        <v>609047</v>
      </c>
      <c r="F8" s="24">
        <v>1</v>
      </c>
      <c r="G8" s="47">
        <v>164638</v>
      </c>
      <c r="H8" s="47">
        <v>0</v>
      </c>
      <c r="I8" s="60">
        <v>0.28249999999999997</v>
      </c>
      <c r="J8" s="66"/>
      <c r="K8" s="62">
        <v>473097</v>
      </c>
      <c r="L8" s="24">
        <v>0</v>
      </c>
      <c r="M8" s="47">
        <v>0</v>
      </c>
      <c r="N8" s="56">
        <v>0</v>
      </c>
      <c r="O8" s="148"/>
      <c r="P8" s="66"/>
      <c r="Q8" s="62">
        <v>1110595</v>
      </c>
      <c r="R8" s="62">
        <v>26491</v>
      </c>
      <c r="S8" s="24">
        <v>0</v>
      </c>
      <c r="T8" s="47">
        <v>0</v>
      </c>
      <c r="U8" s="55">
        <f t="shared" si="1"/>
        <v>0</v>
      </c>
      <c r="V8" s="148"/>
      <c r="W8" s="160"/>
      <c r="X8" s="51">
        <v>2642837</v>
      </c>
      <c r="Y8" s="52">
        <v>90046</v>
      </c>
      <c r="Z8" s="99">
        <v>1</v>
      </c>
      <c r="AA8" s="51">
        <v>164638</v>
      </c>
      <c r="AB8" s="38">
        <f t="shared" si="2"/>
        <v>6.0243340091763901E-2</v>
      </c>
      <c r="AC8" s="74">
        <v>0.50800000000000001</v>
      </c>
      <c r="AD8" s="80" t="s">
        <v>138</v>
      </c>
      <c r="AE8" s="84">
        <f t="shared" ref="AE8:AE55" si="3">(AB8*0.2)+AB8</f>
        <v>7.2292008110116684E-2</v>
      </c>
    </row>
    <row r="9" spans="1:33" ht="15">
      <c r="A9" s="91" t="s">
        <v>17</v>
      </c>
      <c r="B9" s="92" t="s">
        <v>141</v>
      </c>
      <c r="C9" s="40">
        <v>119115</v>
      </c>
      <c r="D9" s="40">
        <v>2581</v>
      </c>
      <c r="E9" s="40">
        <f t="shared" si="0"/>
        <v>121696</v>
      </c>
      <c r="F9" s="24">
        <v>0</v>
      </c>
      <c r="G9" s="48">
        <v>0</v>
      </c>
      <c r="H9" s="47">
        <v>0</v>
      </c>
      <c r="I9" s="60">
        <v>0</v>
      </c>
      <c r="J9" s="66"/>
      <c r="K9" s="62">
        <v>1889</v>
      </c>
      <c r="L9" s="24">
        <v>0</v>
      </c>
      <c r="M9" s="48">
        <v>0</v>
      </c>
      <c r="N9" s="56">
        <v>0</v>
      </c>
      <c r="O9" s="148"/>
      <c r="P9" s="66"/>
      <c r="Q9" s="62">
        <v>42724</v>
      </c>
      <c r="R9" s="62">
        <v>8827</v>
      </c>
      <c r="S9" s="24">
        <v>0</v>
      </c>
      <c r="T9" s="48">
        <v>0</v>
      </c>
      <c r="U9" s="55">
        <f t="shared" si="1"/>
        <v>0</v>
      </c>
      <c r="V9" s="148"/>
      <c r="W9" s="160"/>
      <c r="X9" s="51">
        <v>164556</v>
      </c>
      <c r="Y9" s="52">
        <v>12516</v>
      </c>
      <c r="Z9" s="99">
        <v>0</v>
      </c>
      <c r="AA9" s="51">
        <v>0</v>
      </c>
      <c r="AB9" s="38">
        <f t="shared" si="2"/>
        <v>0</v>
      </c>
      <c r="AC9" s="75">
        <v>0.01</v>
      </c>
      <c r="AD9" s="80" t="s">
        <v>138</v>
      </c>
      <c r="AE9" s="81">
        <v>0.01</v>
      </c>
    </row>
    <row r="10" spans="1:33" ht="15">
      <c r="A10" s="91">
        <v>353</v>
      </c>
      <c r="B10" s="92" t="s">
        <v>142</v>
      </c>
      <c r="C10" s="40">
        <v>4497072</v>
      </c>
      <c r="D10" s="40">
        <v>63338</v>
      </c>
      <c r="E10" s="40">
        <f t="shared" si="0"/>
        <v>4560410</v>
      </c>
      <c r="F10" s="24">
        <v>0</v>
      </c>
      <c r="G10" s="47">
        <v>0</v>
      </c>
      <c r="H10" s="47">
        <v>0</v>
      </c>
      <c r="I10" s="60">
        <v>0</v>
      </c>
      <c r="J10" s="66"/>
      <c r="K10" s="62">
        <v>12104720</v>
      </c>
      <c r="L10" s="24">
        <v>0</v>
      </c>
      <c r="M10" s="47">
        <v>0</v>
      </c>
      <c r="N10" s="56">
        <v>0</v>
      </c>
      <c r="O10" s="148"/>
      <c r="P10" s="66"/>
      <c r="Q10" s="62">
        <v>10297796</v>
      </c>
      <c r="R10" s="62">
        <v>56530</v>
      </c>
      <c r="S10" s="24">
        <v>0</v>
      </c>
      <c r="T10" s="47">
        <v>0</v>
      </c>
      <c r="U10" s="55">
        <f t="shared" si="1"/>
        <v>0</v>
      </c>
      <c r="V10" s="148"/>
      <c r="W10" s="160"/>
      <c r="X10" s="51">
        <v>34597633</v>
      </c>
      <c r="Y10" s="52">
        <v>246757</v>
      </c>
      <c r="Z10" s="99">
        <v>0</v>
      </c>
      <c r="AA10" s="51">
        <v>0</v>
      </c>
      <c r="AB10" s="38">
        <f t="shared" si="2"/>
        <v>0</v>
      </c>
      <c r="AC10" s="74">
        <v>4.3029661429979965E-2</v>
      </c>
      <c r="AD10" s="80" t="s">
        <v>138</v>
      </c>
      <c r="AE10" s="81">
        <v>0.01</v>
      </c>
    </row>
    <row r="11" spans="1:33" ht="15">
      <c r="A11" s="91" t="s">
        <v>20</v>
      </c>
      <c r="B11" s="92" t="s">
        <v>143</v>
      </c>
      <c r="C11" s="40">
        <v>2194</v>
      </c>
      <c r="D11" s="40">
        <v>709</v>
      </c>
      <c r="E11" s="40">
        <f t="shared" si="0"/>
        <v>2903</v>
      </c>
      <c r="F11" s="24">
        <v>0</v>
      </c>
      <c r="G11" s="48">
        <v>0</v>
      </c>
      <c r="H11" s="47">
        <v>0</v>
      </c>
      <c r="I11" s="60">
        <v>0</v>
      </c>
      <c r="J11" s="66"/>
      <c r="K11" s="62">
        <v>65145</v>
      </c>
      <c r="L11" s="24">
        <v>0</v>
      </c>
      <c r="M11" s="48">
        <v>0</v>
      </c>
      <c r="N11" s="56">
        <v>0</v>
      </c>
      <c r="O11" s="148"/>
      <c r="P11" s="66"/>
      <c r="Q11" s="62">
        <v>4192</v>
      </c>
      <c r="R11" s="62">
        <v>275</v>
      </c>
      <c r="S11" s="24">
        <v>0</v>
      </c>
      <c r="T11" s="48">
        <v>0</v>
      </c>
      <c r="U11" s="55">
        <f t="shared" si="1"/>
        <v>0</v>
      </c>
      <c r="V11" s="148"/>
      <c r="W11" s="160"/>
      <c r="X11" s="51">
        <v>72604</v>
      </c>
      <c r="Y11" s="52">
        <v>5310</v>
      </c>
      <c r="Z11" s="99">
        <v>0</v>
      </c>
      <c r="AA11" s="51">
        <v>0</v>
      </c>
      <c r="AB11" s="38">
        <f t="shared" si="2"/>
        <v>0</v>
      </c>
      <c r="AC11" s="75">
        <v>0.01</v>
      </c>
      <c r="AD11" s="80" t="s">
        <v>138</v>
      </c>
      <c r="AE11" s="81">
        <v>0.01</v>
      </c>
    </row>
    <row r="12" spans="1:33" ht="15">
      <c r="A12" s="91" t="s">
        <v>22</v>
      </c>
      <c r="B12" s="92" t="s">
        <v>144</v>
      </c>
      <c r="C12" s="40">
        <v>90</v>
      </c>
      <c r="D12" s="40">
        <v>3323</v>
      </c>
      <c r="E12" s="40">
        <f t="shared" si="0"/>
        <v>3413</v>
      </c>
      <c r="F12" s="24">
        <v>0</v>
      </c>
      <c r="G12" s="48">
        <v>0</v>
      </c>
      <c r="H12" s="47">
        <v>0</v>
      </c>
      <c r="I12" s="60">
        <v>0</v>
      </c>
      <c r="J12" s="66"/>
      <c r="K12" s="62">
        <v>149</v>
      </c>
      <c r="L12" s="24">
        <v>0</v>
      </c>
      <c r="M12" s="48">
        <v>0</v>
      </c>
      <c r="N12" s="56">
        <v>0</v>
      </c>
      <c r="O12" s="148"/>
      <c r="P12" s="66"/>
      <c r="Q12" s="62">
        <v>47538</v>
      </c>
      <c r="R12" s="62">
        <v>757</v>
      </c>
      <c r="S12" s="24">
        <v>0</v>
      </c>
      <c r="T12" s="48">
        <v>0</v>
      </c>
      <c r="U12" s="55">
        <f t="shared" si="1"/>
        <v>0</v>
      </c>
      <c r="V12" s="148"/>
      <c r="W12" s="160"/>
      <c r="X12" s="51">
        <v>48023</v>
      </c>
      <c r="Y12" s="52">
        <v>10890</v>
      </c>
      <c r="Z12" s="99">
        <v>0</v>
      </c>
      <c r="AA12" s="51">
        <v>0</v>
      </c>
      <c r="AB12" s="38">
        <f t="shared" si="2"/>
        <v>0</v>
      </c>
      <c r="AC12" s="75">
        <v>0.01</v>
      </c>
      <c r="AD12" s="80" t="s">
        <v>138</v>
      </c>
      <c r="AE12" s="81">
        <v>0.01</v>
      </c>
    </row>
    <row r="13" spans="1:33" ht="15">
      <c r="A13" s="91">
        <v>118</v>
      </c>
      <c r="B13" s="92" t="s">
        <v>24</v>
      </c>
      <c r="C13" s="40">
        <v>3921</v>
      </c>
      <c r="D13" s="40">
        <v>5010</v>
      </c>
      <c r="E13" s="40">
        <f t="shared" si="0"/>
        <v>8931</v>
      </c>
      <c r="F13" s="24">
        <v>0</v>
      </c>
      <c r="G13" s="47">
        <v>0</v>
      </c>
      <c r="H13" s="47">
        <v>0</v>
      </c>
      <c r="I13" s="60">
        <v>0</v>
      </c>
      <c r="J13" s="66"/>
      <c r="K13" s="62">
        <v>1585</v>
      </c>
      <c r="L13" s="24">
        <v>0</v>
      </c>
      <c r="M13" s="47">
        <v>0</v>
      </c>
      <c r="N13" s="56">
        <v>0</v>
      </c>
      <c r="O13" s="148"/>
      <c r="P13" s="66"/>
      <c r="Q13" s="62">
        <v>59146</v>
      </c>
      <c r="R13" s="62">
        <v>59646</v>
      </c>
      <c r="S13" s="24">
        <v>0</v>
      </c>
      <c r="T13" s="47">
        <v>0</v>
      </c>
      <c r="U13" s="55">
        <f t="shared" si="1"/>
        <v>0</v>
      </c>
      <c r="V13" s="148"/>
      <c r="W13" s="160"/>
      <c r="X13" s="51">
        <v>74214</v>
      </c>
      <c r="Y13" s="52">
        <v>103812</v>
      </c>
      <c r="Z13" s="99">
        <v>0</v>
      </c>
      <c r="AA13" s="51">
        <v>0</v>
      </c>
      <c r="AB13" s="38">
        <f t="shared" si="2"/>
        <v>0</v>
      </c>
      <c r="AC13" s="74">
        <v>0.121</v>
      </c>
      <c r="AD13" s="80" t="s">
        <v>138</v>
      </c>
      <c r="AE13" s="81">
        <v>0.01</v>
      </c>
    </row>
    <row r="14" spans="1:33" ht="15">
      <c r="A14" s="91" t="s">
        <v>25</v>
      </c>
      <c r="B14" s="92" t="s">
        <v>145</v>
      </c>
      <c r="C14" s="40">
        <v>23072580</v>
      </c>
      <c r="D14" s="40">
        <v>45313</v>
      </c>
      <c r="E14" s="40">
        <f t="shared" si="0"/>
        <v>23117893</v>
      </c>
      <c r="F14" s="24">
        <v>1</v>
      </c>
      <c r="G14" s="47">
        <v>11415</v>
      </c>
      <c r="H14" s="47">
        <v>0</v>
      </c>
      <c r="I14" s="60">
        <v>5.0000000000000001E-4</v>
      </c>
      <c r="J14" s="66"/>
      <c r="K14" s="62">
        <v>55491759</v>
      </c>
      <c r="L14" s="24">
        <v>2</v>
      </c>
      <c r="M14" s="47">
        <v>93738</v>
      </c>
      <c r="N14" s="56">
        <v>1.6999999999999999E-3</v>
      </c>
      <c r="O14" s="148"/>
      <c r="P14" s="66"/>
      <c r="Q14" s="62">
        <v>18162992</v>
      </c>
      <c r="R14" s="62">
        <v>42848</v>
      </c>
      <c r="S14" s="24">
        <v>2</v>
      </c>
      <c r="T14" s="47">
        <v>231925</v>
      </c>
      <c r="U14" s="55">
        <f t="shared" si="1"/>
        <v>1.2739044174836206E-2</v>
      </c>
      <c r="V14" s="148"/>
      <c r="W14" s="160"/>
      <c r="X14" s="51">
        <v>114626825</v>
      </c>
      <c r="Y14" s="52">
        <v>164580</v>
      </c>
      <c r="Z14" s="99">
        <v>3</v>
      </c>
      <c r="AA14" s="51">
        <f>364313+1075</f>
        <v>365388</v>
      </c>
      <c r="AB14" s="38">
        <f t="shared" si="2"/>
        <v>3.1830606132924326E-3</v>
      </c>
      <c r="AC14" s="75">
        <v>0.01</v>
      </c>
      <c r="AD14" s="80" t="s">
        <v>138</v>
      </c>
      <c r="AE14" s="81">
        <v>0.01</v>
      </c>
    </row>
    <row r="15" spans="1:33" ht="15">
      <c r="A15" s="91" t="s">
        <v>27</v>
      </c>
      <c r="B15" s="92" t="s">
        <v>146</v>
      </c>
      <c r="C15" s="40">
        <v>3643053</v>
      </c>
      <c r="D15" s="40">
        <v>53286</v>
      </c>
      <c r="E15" s="40">
        <f t="shared" si="0"/>
        <v>3696339</v>
      </c>
      <c r="F15" s="24">
        <v>3</v>
      </c>
      <c r="G15" s="47">
        <v>11899</v>
      </c>
      <c r="H15" s="47">
        <v>0</v>
      </c>
      <c r="I15" s="60">
        <v>3.3E-3</v>
      </c>
      <c r="J15" s="66"/>
      <c r="K15" s="62">
        <v>2162279</v>
      </c>
      <c r="L15" s="24">
        <v>3</v>
      </c>
      <c r="M15" s="47">
        <v>8361</v>
      </c>
      <c r="N15" s="56">
        <v>3.8999999999999998E-3</v>
      </c>
      <c r="O15" s="148"/>
      <c r="P15" s="66"/>
      <c r="Q15" s="62">
        <v>2202095</v>
      </c>
      <c r="R15" s="62">
        <v>89374</v>
      </c>
      <c r="S15" s="24">
        <v>2</v>
      </c>
      <c r="T15" s="47">
        <v>2510</v>
      </c>
      <c r="U15" s="55">
        <f t="shared" si="1"/>
        <v>1.0953672076733309E-3</v>
      </c>
      <c r="V15" s="148"/>
      <c r="W15" s="160"/>
      <c r="X15" s="51">
        <v>11934974</v>
      </c>
      <c r="Y15" s="52">
        <v>226437</v>
      </c>
      <c r="Z15" s="99">
        <v>4</v>
      </c>
      <c r="AA15" s="51">
        <v>38103</v>
      </c>
      <c r="AB15" s="38">
        <f t="shared" si="2"/>
        <v>3.1331068409742916E-3</v>
      </c>
      <c r="AC15" s="75">
        <v>0.01</v>
      </c>
      <c r="AD15" s="80" t="s">
        <v>138</v>
      </c>
      <c r="AE15" s="81">
        <v>0.01</v>
      </c>
    </row>
    <row r="16" spans="1:33" ht="15">
      <c r="A16" s="91" t="s">
        <v>31</v>
      </c>
      <c r="B16" s="92" t="s">
        <v>147</v>
      </c>
      <c r="C16" s="40">
        <v>24315839</v>
      </c>
      <c r="D16" s="40">
        <v>3353005</v>
      </c>
      <c r="E16" s="40">
        <f t="shared" si="0"/>
        <v>27668844</v>
      </c>
      <c r="F16" s="24">
        <v>6</v>
      </c>
      <c r="G16" s="47">
        <v>20190</v>
      </c>
      <c r="H16" s="47">
        <v>55</v>
      </c>
      <c r="I16" s="60">
        <v>8.0000000000000004E-4</v>
      </c>
      <c r="J16" s="66"/>
      <c r="K16" s="62">
        <v>21458134</v>
      </c>
      <c r="L16" s="24">
        <v>3</v>
      </c>
      <c r="M16" s="47">
        <v>61867</v>
      </c>
      <c r="N16" s="56">
        <v>2.8999999999999998E-3</v>
      </c>
      <c r="O16" s="148"/>
      <c r="P16" s="66"/>
      <c r="Q16" s="62">
        <v>26353267</v>
      </c>
      <c r="R16" s="62">
        <v>3605163</v>
      </c>
      <c r="S16" s="24">
        <v>3</v>
      </c>
      <c r="T16" s="47">
        <f>835+53516</f>
        <v>54351</v>
      </c>
      <c r="U16" s="55">
        <f t="shared" si="1"/>
        <v>1.8142138957215048E-3</v>
      </c>
      <c r="V16" s="148"/>
      <c r="W16" s="160"/>
      <c r="X16" s="51">
        <v>91688336</v>
      </c>
      <c r="Y16" s="52">
        <v>13348560</v>
      </c>
      <c r="Z16" s="99">
        <v>10</v>
      </c>
      <c r="AA16" s="51">
        <f>149310+1538</f>
        <v>150848</v>
      </c>
      <c r="AB16" s="38">
        <f t="shared" si="2"/>
        <v>1.4361429720847806E-3</v>
      </c>
      <c r="AC16" s="75">
        <v>0.01</v>
      </c>
      <c r="AD16" s="80" t="s">
        <v>138</v>
      </c>
      <c r="AE16" s="81">
        <v>0.01</v>
      </c>
      <c r="AG16" s="82"/>
    </row>
    <row r="17" spans="1:33" ht="15">
      <c r="A17" s="91" t="s">
        <v>33</v>
      </c>
      <c r="B17" s="92" t="s">
        <v>148</v>
      </c>
      <c r="C17" s="40">
        <v>8573427</v>
      </c>
      <c r="D17" s="40">
        <v>89597</v>
      </c>
      <c r="E17" s="40">
        <f t="shared" si="0"/>
        <v>8663024</v>
      </c>
      <c r="F17" s="24">
        <v>1</v>
      </c>
      <c r="G17" s="47">
        <v>4295</v>
      </c>
      <c r="H17" s="47">
        <v>0</v>
      </c>
      <c r="I17" s="60">
        <v>5.0000000000000001E-4</v>
      </c>
      <c r="J17" s="66"/>
      <c r="K17" s="62">
        <v>4975601</v>
      </c>
      <c r="L17" s="24">
        <v>2</v>
      </c>
      <c r="M17" s="47">
        <v>21804</v>
      </c>
      <c r="N17" s="56">
        <v>4.4000000000000003E-3</v>
      </c>
      <c r="O17" s="148"/>
      <c r="P17" s="66"/>
      <c r="Q17" s="62">
        <v>34564745</v>
      </c>
      <c r="R17" s="62">
        <v>169686</v>
      </c>
      <c r="S17" s="24">
        <v>2</v>
      </c>
      <c r="T17" s="47">
        <v>73950</v>
      </c>
      <c r="U17" s="55">
        <f t="shared" si="1"/>
        <v>2.1290114123360764E-3</v>
      </c>
      <c r="V17" s="148"/>
      <c r="W17" s="160"/>
      <c r="X17" s="51">
        <v>52062259</v>
      </c>
      <c r="Y17" s="52">
        <v>624752</v>
      </c>
      <c r="Z17" s="99">
        <v>3</v>
      </c>
      <c r="AA17" s="51">
        <v>104430</v>
      </c>
      <c r="AB17" s="38">
        <f t="shared" si="2"/>
        <v>1.9820824529218407E-3</v>
      </c>
      <c r="AC17" s="75">
        <v>0.01</v>
      </c>
      <c r="AD17" s="80" t="s">
        <v>138</v>
      </c>
      <c r="AE17" s="81">
        <v>0.01</v>
      </c>
      <c r="AG17" s="82"/>
    </row>
    <row r="18" spans="1:33" ht="15">
      <c r="A18" s="91">
        <v>310</v>
      </c>
      <c r="B18" s="92" t="s">
        <v>35</v>
      </c>
      <c r="C18" s="40">
        <v>55482029</v>
      </c>
      <c r="D18" s="40">
        <v>2697098</v>
      </c>
      <c r="E18" s="40">
        <f t="shared" si="0"/>
        <v>58179127</v>
      </c>
      <c r="F18" s="24">
        <v>17</v>
      </c>
      <c r="G18" s="47">
        <v>2614728</v>
      </c>
      <c r="H18" s="47">
        <v>6789</v>
      </c>
      <c r="I18" s="60">
        <v>4.7100000000000003E-2</v>
      </c>
      <c r="J18" s="66"/>
      <c r="K18" s="62">
        <v>49504174</v>
      </c>
      <c r="L18" s="24">
        <v>13</v>
      </c>
      <c r="M18" s="47">
        <v>356638</v>
      </c>
      <c r="N18" s="56">
        <v>7.1999999999999998E-3</v>
      </c>
      <c r="O18" s="148"/>
      <c r="P18" s="66"/>
      <c r="Q18" s="62">
        <v>47482554</v>
      </c>
      <c r="R18" s="62">
        <v>2798659</v>
      </c>
      <c r="S18" s="24">
        <v>20</v>
      </c>
      <c r="T18" s="47">
        <f>1434550+2378</f>
        <v>1436928</v>
      </c>
      <c r="U18" s="55">
        <f t="shared" si="1"/>
        <v>2.8577830849068817E-2</v>
      </c>
      <c r="V18" s="148"/>
      <c r="W18" s="160"/>
      <c r="X18" s="51">
        <v>196919365</v>
      </c>
      <c r="Y18" s="52">
        <v>11288299</v>
      </c>
      <c r="Z18" s="99">
        <v>32</v>
      </c>
      <c r="AA18" s="51">
        <f>4737781+25781</f>
        <v>4763562</v>
      </c>
      <c r="AB18" s="38">
        <f t="shared" si="2"/>
        <v>2.2878898444391556E-2</v>
      </c>
      <c r="AC18" s="74">
        <v>3.0368290539812756E-2</v>
      </c>
      <c r="AD18" s="80" t="s">
        <v>138</v>
      </c>
      <c r="AE18" s="81">
        <f t="shared" si="3"/>
        <v>2.7454678133269867E-2</v>
      </c>
      <c r="AG18" s="82"/>
    </row>
    <row r="19" spans="1:33" ht="15">
      <c r="A19" s="91" t="s">
        <v>36</v>
      </c>
      <c r="B19" s="92" t="s">
        <v>37</v>
      </c>
      <c r="C19" s="40">
        <v>18127134</v>
      </c>
      <c r="D19" s="40">
        <v>788801</v>
      </c>
      <c r="E19" s="40">
        <f t="shared" si="0"/>
        <v>18915935</v>
      </c>
      <c r="F19" s="24">
        <v>5</v>
      </c>
      <c r="G19" s="47">
        <v>35548</v>
      </c>
      <c r="H19" s="47">
        <v>1841</v>
      </c>
      <c r="I19" s="60">
        <v>2E-3</v>
      </c>
      <c r="J19" s="66"/>
      <c r="K19" s="62">
        <v>11831643</v>
      </c>
      <c r="L19" s="24">
        <v>4</v>
      </c>
      <c r="M19" s="47">
        <v>9727</v>
      </c>
      <c r="N19" s="56">
        <v>8.0000000000000004E-4</v>
      </c>
      <c r="O19" s="148"/>
      <c r="P19" s="66"/>
      <c r="Q19" s="62">
        <v>14849883</v>
      </c>
      <c r="R19" s="62">
        <v>734306</v>
      </c>
      <c r="S19" s="24">
        <v>6</v>
      </c>
      <c r="T19" s="47">
        <f>19566+2566</f>
        <v>22132</v>
      </c>
      <c r="U19" s="55">
        <f t="shared" si="1"/>
        <v>1.420157314570556E-3</v>
      </c>
      <c r="V19" s="148"/>
      <c r="W19" s="160"/>
      <c r="X19" s="51">
        <v>59350131</v>
      </c>
      <c r="Y19" s="52">
        <v>3134843</v>
      </c>
      <c r="Z19" s="99">
        <v>10</v>
      </c>
      <c r="AA19" s="51">
        <f>69106+7657</f>
        <v>76763</v>
      </c>
      <c r="AB19" s="38">
        <f t="shared" si="2"/>
        <v>1.2285033518618412E-3</v>
      </c>
      <c r="AC19" s="75">
        <v>0.01</v>
      </c>
      <c r="AD19" s="80" t="s">
        <v>138</v>
      </c>
      <c r="AE19" s="81">
        <v>0.01</v>
      </c>
      <c r="AG19" s="82"/>
    </row>
    <row r="20" spans="1:33" ht="15">
      <c r="A20" s="91" t="s">
        <v>38</v>
      </c>
      <c r="B20" s="92" t="s">
        <v>39</v>
      </c>
      <c r="C20" s="40">
        <v>60814277</v>
      </c>
      <c r="D20" s="40">
        <v>2517740</v>
      </c>
      <c r="E20" s="40">
        <f t="shared" si="0"/>
        <v>63332017</v>
      </c>
      <c r="F20" s="24">
        <v>14</v>
      </c>
      <c r="G20" s="47">
        <v>149380</v>
      </c>
      <c r="H20" s="47">
        <v>863</v>
      </c>
      <c r="I20" s="60">
        <v>2.5000000000000001E-3</v>
      </c>
      <c r="J20" s="66"/>
      <c r="K20" s="62">
        <v>65228254</v>
      </c>
      <c r="L20" s="24">
        <v>13</v>
      </c>
      <c r="M20" s="47">
        <v>194694</v>
      </c>
      <c r="N20" s="56">
        <v>3.0000000000000001E-3</v>
      </c>
      <c r="O20" s="148"/>
      <c r="P20" s="66"/>
      <c r="Q20" s="62">
        <v>60423427</v>
      </c>
      <c r="R20" s="62">
        <v>1569292</v>
      </c>
      <c r="S20" s="24">
        <v>10</v>
      </c>
      <c r="T20" s="47">
        <f>120817+600</f>
        <v>121417</v>
      </c>
      <c r="U20" s="55">
        <f t="shared" si="1"/>
        <v>1.9585687151421768E-3</v>
      </c>
      <c r="V20" s="148"/>
      <c r="W20" s="160"/>
      <c r="X20" s="51">
        <v>247009045</v>
      </c>
      <c r="Y20" s="52">
        <v>8277861</v>
      </c>
      <c r="Z20" s="99">
        <v>18</v>
      </c>
      <c r="AA20" s="51">
        <f>657433+2268</f>
        <v>659701</v>
      </c>
      <c r="AB20" s="38">
        <f t="shared" si="2"/>
        <v>2.5841552562825137E-3</v>
      </c>
      <c r="AC20" s="75">
        <v>0.01</v>
      </c>
      <c r="AD20" s="80" t="s">
        <v>138</v>
      </c>
      <c r="AE20" s="81">
        <v>0.01</v>
      </c>
      <c r="AG20" s="82"/>
    </row>
    <row r="21" spans="1:33" ht="15">
      <c r="A21" s="91">
        <v>102</v>
      </c>
      <c r="B21" s="92" t="s">
        <v>40</v>
      </c>
      <c r="C21" s="40">
        <v>301241</v>
      </c>
      <c r="D21" s="40">
        <v>86285</v>
      </c>
      <c r="E21" s="40">
        <f t="shared" si="0"/>
        <v>387526</v>
      </c>
      <c r="F21" s="24">
        <v>4</v>
      </c>
      <c r="G21" s="47">
        <v>21920</v>
      </c>
      <c r="H21" s="47">
        <v>0</v>
      </c>
      <c r="I21" s="60">
        <v>7.2800000000000004E-2</v>
      </c>
      <c r="J21" s="66"/>
      <c r="K21" s="62">
        <v>597301</v>
      </c>
      <c r="L21" s="24">
        <v>3</v>
      </c>
      <c r="M21" s="47">
        <v>31653</v>
      </c>
      <c r="N21" s="72">
        <v>5.2999999999999999E-2</v>
      </c>
      <c r="O21" s="148"/>
      <c r="P21" s="66"/>
      <c r="Q21" s="62">
        <v>610738</v>
      </c>
      <c r="R21" s="62">
        <v>79272</v>
      </c>
      <c r="S21" s="24">
        <v>3</v>
      </c>
      <c r="T21" s="47">
        <v>29396</v>
      </c>
      <c r="U21" s="55">
        <f t="shared" si="1"/>
        <v>4.260228112636049E-2</v>
      </c>
      <c r="V21" s="148"/>
      <c r="W21" s="160"/>
      <c r="X21" s="51">
        <v>1879480</v>
      </c>
      <c r="Y21" s="52">
        <v>357428</v>
      </c>
      <c r="Z21" s="99">
        <v>4</v>
      </c>
      <c r="AA21" s="51">
        <v>104278</v>
      </c>
      <c r="AB21" s="38">
        <f t="shared" si="2"/>
        <v>4.6617026717236471E-2</v>
      </c>
      <c r="AC21" s="74">
        <v>8.422937297541265E-2</v>
      </c>
      <c r="AD21" s="80" t="s">
        <v>138</v>
      </c>
      <c r="AE21" s="81">
        <f t="shared" si="3"/>
        <v>5.5940432060683762E-2</v>
      </c>
    </row>
    <row r="22" spans="1:33" ht="15">
      <c r="A22" s="91" t="s">
        <v>41</v>
      </c>
      <c r="B22" s="92" t="s">
        <v>42</v>
      </c>
      <c r="C22" s="40">
        <v>65196984</v>
      </c>
      <c r="D22" s="40">
        <v>479983</v>
      </c>
      <c r="E22" s="40">
        <f t="shared" si="0"/>
        <v>65676967</v>
      </c>
      <c r="F22" s="24">
        <v>5</v>
      </c>
      <c r="G22" s="47">
        <v>86265</v>
      </c>
      <c r="H22" s="47">
        <v>0</v>
      </c>
      <c r="I22" s="60">
        <v>1.2999999999999999E-3</v>
      </c>
      <c r="J22" s="66"/>
      <c r="K22" s="62">
        <v>48534585</v>
      </c>
      <c r="L22" s="24">
        <v>7</v>
      </c>
      <c r="M22" s="47">
        <v>51763</v>
      </c>
      <c r="N22" s="56">
        <v>1.1000000000000001E-3</v>
      </c>
      <c r="O22" s="148"/>
      <c r="P22" s="66"/>
      <c r="Q22" s="62">
        <v>51932809</v>
      </c>
      <c r="R22" s="62">
        <v>719658</v>
      </c>
      <c r="S22" s="24">
        <v>7</v>
      </c>
      <c r="T22" s="47">
        <v>156938</v>
      </c>
      <c r="U22" s="55">
        <f t="shared" si="1"/>
        <v>2.9806390648324226E-3</v>
      </c>
      <c r="V22" s="148"/>
      <c r="W22" s="160"/>
      <c r="X22" s="51">
        <v>224804255</v>
      </c>
      <c r="Y22" s="52">
        <v>2328437</v>
      </c>
      <c r="Z22" s="99">
        <v>7</v>
      </c>
      <c r="AA22" s="51">
        <v>498939</v>
      </c>
      <c r="AB22" s="38">
        <f t="shared" si="2"/>
        <v>2.1966850989464785E-3</v>
      </c>
      <c r="AC22" s="75">
        <v>0.01</v>
      </c>
      <c r="AD22" s="80" t="s">
        <v>138</v>
      </c>
      <c r="AE22" s="81">
        <v>0.01</v>
      </c>
      <c r="AG22" s="82"/>
    </row>
    <row r="23" spans="1:33" ht="15">
      <c r="A23" s="91">
        <v>235</v>
      </c>
      <c r="B23" s="92" t="s">
        <v>43</v>
      </c>
      <c r="C23" s="40">
        <v>23214262</v>
      </c>
      <c r="D23" s="40">
        <v>759162</v>
      </c>
      <c r="E23" s="40">
        <f t="shared" si="0"/>
        <v>23973424</v>
      </c>
      <c r="F23" s="24">
        <v>5</v>
      </c>
      <c r="G23" s="47">
        <v>380875</v>
      </c>
      <c r="H23" s="47">
        <v>1610</v>
      </c>
      <c r="I23" s="60">
        <v>1.6400000000000001E-2</v>
      </c>
      <c r="J23" s="66"/>
      <c r="K23" s="62">
        <v>11338998</v>
      </c>
      <c r="L23" s="24">
        <v>4</v>
      </c>
      <c r="M23" s="47">
        <v>333589</v>
      </c>
      <c r="N23" s="56">
        <v>2.9399999999999999E-2</v>
      </c>
      <c r="O23" s="148"/>
      <c r="P23" s="66"/>
      <c r="Q23" s="62">
        <v>7228002</v>
      </c>
      <c r="R23" s="62">
        <v>674211</v>
      </c>
      <c r="S23" s="24">
        <v>6</v>
      </c>
      <c r="T23" s="47">
        <f>201355+3288</f>
        <v>204643</v>
      </c>
      <c r="U23" s="55">
        <f t="shared" si="1"/>
        <v>2.5896922798714739E-2</v>
      </c>
      <c r="V23" s="148"/>
      <c r="W23" s="160"/>
      <c r="X23" s="51">
        <v>50254877</v>
      </c>
      <c r="Y23" s="52">
        <v>2938075</v>
      </c>
      <c r="Z23" s="99">
        <v>9</v>
      </c>
      <c r="AA23" s="51">
        <f>1217889+7327</f>
        <v>1225216</v>
      </c>
      <c r="AB23" s="38">
        <f t="shared" si="2"/>
        <v>2.3033427436025735E-2</v>
      </c>
      <c r="AC23" s="74">
        <v>2.9000000000000001E-2</v>
      </c>
      <c r="AD23" s="80" t="s">
        <v>149</v>
      </c>
      <c r="AE23" s="81">
        <f t="shared" si="3"/>
        <v>2.7640112923230882E-2</v>
      </c>
      <c r="AG23" s="82"/>
    </row>
    <row r="24" spans="1:33" ht="15">
      <c r="A24" s="91">
        <v>240</v>
      </c>
      <c r="B24" s="92" t="s">
        <v>150</v>
      </c>
      <c r="C24" s="40">
        <v>17872152</v>
      </c>
      <c r="D24" s="40">
        <v>231883</v>
      </c>
      <c r="E24" s="40">
        <f t="shared" si="0"/>
        <v>18104035</v>
      </c>
      <c r="F24" s="24">
        <v>6</v>
      </c>
      <c r="G24" s="47">
        <v>638385</v>
      </c>
      <c r="H24" s="47">
        <v>0</v>
      </c>
      <c r="I24" s="60">
        <v>3.5700000000000003E-2</v>
      </c>
      <c r="J24" s="66"/>
      <c r="K24" s="62">
        <v>8516692</v>
      </c>
      <c r="L24" s="24">
        <v>3</v>
      </c>
      <c r="M24" s="47">
        <v>253234</v>
      </c>
      <c r="N24" s="56">
        <v>2.9700000000000001E-2</v>
      </c>
      <c r="O24" s="148"/>
      <c r="P24" s="66"/>
      <c r="Q24" s="62">
        <v>9622860</v>
      </c>
      <c r="R24" s="62">
        <v>225275</v>
      </c>
      <c r="S24" s="24">
        <v>4</v>
      </c>
      <c r="T24" s="47">
        <v>321199</v>
      </c>
      <c r="U24" s="55">
        <f t="shared" si="1"/>
        <v>3.2615210900337983E-2</v>
      </c>
      <c r="V24" s="148"/>
      <c r="W24" s="160"/>
      <c r="X24" s="51">
        <v>43953026</v>
      </c>
      <c r="Y24" s="52">
        <v>913570</v>
      </c>
      <c r="Z24" s="99">
        <v>6</v>
      </c>
      <c r="AA24" s="51">
        <v>1509298</v>
      </c>
      <c r="AB24" s="38">
        <f t="shared" si="2"/>
        <v>3.3639681512722737E-2</v>
      </c>
      <c r="AC24" s="74">
        <v>3.9E-2</v>
      </c>
      <c r="AD24" s="80" t="s">
        <v>149</v>
      </c>
      <c r="AE24" s="81">
        <f t="shared" si="3"/>
        <v>4.0367617815267286E-2</v>
      </c>
      <c r="AG24" s="82"/>
    </row>
    <row r="25" spans="1:33" ht="15">
      <c r="A25" s="91">
        <v>490</v>
      </c>
      <c r="B25" s="92" t="s">
        <v>45</v>
      </c>
      <c r="C25" s="40">
        <v>82357842</v>
      </c>
      <c r="D25" s="40">
        <v>2221045</v>
      </c>
      <c r="E25" s="40">
        <f t="shared" si="0"/>
        <v>84578887</v>
      </c>
      <c r="F25" s="24">
        <v>11</v>
      </c>
      <c r="G25" s="47">
        <v>457534</v>
      </c>
      <c r="H25" s="47">
        <v>59</v>
      </c>
      <c r="I25" s="60">
        <v>5.5999999999999999E-3</v>
      </c>
      <c r="J25" s="66"/>
      <c r="K25" s="62">
        <v>24315715</v>
      </c>
      <c r="L25" s="24">
        <v>8</v>
      </c>
      <c r="M25" s="47">
        <v>529733</v>
      </c>
      <c r="N25" s="56">
        <v>2.18E-2</v>
      </c>
      <c r="O25" s="148"/>
      <c r="P25" s="66"/>
      <c r="Q25" s="62">
        <v>24711777</v>
      </c>
      <c r="R25" s="62">
        <v>1425460</v>
      </c>
      <c r="S25" s="24">
        <v>15</v>
      </c>
      <c r="T25" s="47">
        <f>581106+20147</f>
        <v>601253</v>
      </c>
      <c r="U25" s="55">
        <f t="shared" si="1"/>
        <v>2.3003693925260731E-2</v>
      </c>
      <c r="V25" s="148"/>
      <c r="W25" s="160"/>
      <c r="X25" s="51">
        <v>186527192</v>
      </c>
      <c r="Y25" s="52">
        <v>21611</v>
      </c>
      <c r="Z25" s="99">
        <v>24</v>
      </c>
      <c r="AA25" s="51">
        <f>2641152+21611</f>
        <v>2662763</v>
      </c>
      <c r="AB25" s="38">
        <f t="shared" si="2"/>
        <v>1.4273814450581063E-2</v>
      </c>
      <c r="AC25" s="75">
        <v>0.01</v>
      </c>
      <c r="AD25" s="80" t="s">
        <v>149</v>
      </c>
      <c r="AE25" s="81">
        <f t="shared" si="3"/>
        <v>1.7128577340697275E-2</v>
      </c>
      <c r="AG25" s="82"/>
    </row>
    <row r="26" spans="1:33" ht="15">
      <c r="A26" s="91" t="s">
        <v>46</v>
      </c>
      <c r="B26" s="92" t="s">
        <v>47</v>
      </c>
      <c r="C26" s="40">
        <v>4497020</v>
      </c>
      <c r="D26" s="40">
        <v>26211</v>
      </c>
      <c r="E26" s="40">
        <f t="shared" si="0"/>
        <v>4523231</v>
      </c>
      <c r="F26" s="24">
        <v>0</v>
      </c>
      <c r="G26" s="48">
        <v>0</v>
      </c>
      <c r="H26" s="47">
        <v>0</v>
      </c>
      <c r="I26" s="60">
        <v>0</v>
      </c>
      <c r="J26" s="66"/>
      <c r="K26" s="62">
        <v>4342894</v>
      </c>
      <c r="L26" s="24">
        <v>0</v>
      </c>
      <c r="M26" s="48">
        <v>0</v>
      </c>
      <c r="N26" s="56">
        <v>0</v>
      </c>
      <c r="O26" s="148"/>
      <c r="P26" s="66"/>
      <c r="Q26" s="62">
        <v>6596403</v>
      </c>
      <c r="R26" s="62">
        <v>33747</v>
      </c>
      <c r="S26" s="24">
        <v>0</v>
      </c>
      <c r="T26" s="48">
        <v>0</v>
      </c>
      <c r="U26" s="55">
        <f t="shared" si="1"/>
        <v>0</v>
      </c>
      <c r="V26" s="148"/>
      <c r="W26" s="160"/>
      <c r="X26" s="51">
        <v>21732314</v>
      </c>
      <c r="Y26" s="52">
        <v>87516</v>
      </c>
      <c r="Z26" s="99">
        <v>0</v>
      </c>
      <c r="AA26" s="51">
        <v>0</v>
      </c>
      <c r="AB26" s="38">
        <f t="shared" si="2"/>
        <v>0</v>
      </c>
      <c r="AC26" s="75">
        <v>0.01</v>
      </c>
      <c r="AD26" s="80" t="s">
        <v>138</v>
      </c>
      <c r="AE26" s="81">
        <v>0.01</v>
      </c>
      <c r="AG26" s="82"/>
    </row>
    <row r="27" spans="1:33" ht="15">
      <c r="A27" s="91" t="s">
        <v>48</v>
      </c>
      <c r="B27" s="92" t="s">
        <v>49</v>
      </c>
      <c r="C27" s="40">
        <v>4337878</v>
      </c>
      <c r="D27" s="40">
        <v>113931</v>
      </c>
      <c r="E27" s="40">
        <f t="shared" si="0"/>
        <v>4451809</v>
      </c>
      <c r="F27" s="24">
        <v>1</v>
      </c>
      <c r="G27" s="47">
        <v>13021</v>
      </c>
      <c r="H27" s="47">
        <v>0</v>
      </c>
      <c r="I27" s="60">
        <v>3.0000000000000001E-3</v>
      </c>
      <c r="J27" s="66"/>
      <c r="K27" s="62">
        <v>4604489</v>
      </c>
      <c r="L27" s="24">
        <v>0</v>
      </c>
      <c r="M27" s="47">
        <v>0</v>
      </c>
      <c r="N27" s="56">
        <v>0</v>
      </c>
      <c r="O27" s="148"/>
      <c r="P27" s="66"/>
      <c r="Q27" s="62">
        <v>8520860</v>
      </c>
      <c r="R27" s="62">
        <v>130605</v>
      </c>
      <c r="S27" s="24">
        <v>1</v>
      </c>
      <c r="T27" s="47">
        <v>15709</v>
      </c>
      <c r="U27" s="55">
        <f t="shared" si="1"/>
        <v>1.8157618391798384E-3</v>
      </c>
      <c r="V27" s="148"/>
      <c r="W27" s="160"/>
      <c r="X27" s="51">
        <v>22670249</v>
      </c>
      <c r="Y27" s="52">
        <v>472813</v>
      </c>
      <c r="Z27" s="99">
        <v>1</v>
      </c>
      <c r="AA27" s="51">
        <v>101578</v>
      </c>
      <c r="AB27" s="38">
        <f t="shared" si="2"/>
        <v>4.3891339875423568E-3</v>
      </c>
      <c r="AC27" s="75">
        <v>0.01</v>
      </c>
      <c r="AD27" s="80" t="s">
        <v>138</v>
      </c>
      <c r="AE27" s="81">
        <v>0.01</v>
      </c>
      <c r="AG27" s="82"/>
    </row>
    <row r="28" spans="1:33" ht="15">
      <c r="A28" s="91" t="s">
        <v>50</v>
      </c>
      <c r="B28" s="92" t="s">
        <v>151</v>
      </c>
      <c r="C28" s="40">
        <v>1156996</v>
      </c>
      <c r="D28" s="40">
        <v>106384</v>
      </c>
      <c r="E28" s="40">
        <f t="shared" si="0"/>
        <v>1263380</v>
      </c>
      <c r="F28" s="24">
        <v>0</v>
      </c>
      <c r="G28" s="47">
        <v>0</v>
      </c>
      <c r="H28" s="47">
        <v>0</v>
      </c>
      <c r="I28" s="60">
        <v>0</v>
      </c>
      <c r="J28" s="66"/>
      <c r="K28" s="62">
        <v>547644</v>
      </c>
      <c r="L28" s="24">
        <v>0</v>
      </c>
      <c r="M28" s="47">
        <v>0</v>
      </c>
      <c r="N28" s="56">
        <v>0</v>
      </c>
      <c r="O28" s="148"/>
      <c r="P28" s="66"/>
      <c r="Q28" s="62">
        <v>1055287</v>
      </c>
      <c r="R28" s="62">
        <v>106822</v>
      </c>
      <c r="S28" s="24">
        <v>0</v>
      </c>
      <c r="T28" s="47">
        <v>0</v>
      </c>
      <c r="U28" s="55">
        <f t="shared" si="1"/>
        <v>0</v>
      </c>
      <c r="V28" s="148"/>
      <c r="W28" s="160"/>
      <c r="X28" s="51">
        <v>3962558</v>
      </c>
      <c r="Y28" s="52">
        <v>419908</v>
      </c>
      <c r="Z28" s="99">
        <v>0</v>
      </c>
      <c r="AA28" s="51">
        <v>0</v>
      </c>
      <c r="AB28" s="38">
        <f t="shared" si="2"/>
        <v>0</v>
      </c>
      <c r="AC28" s="75">
        <v>0.01</v>
      </c>
      <c r="AD28" s="80" t="s">
        <v>138</v>
      </c>
      <c r="AE28" s="81">
        <v>0.01</v>
      </c>
      <c r="AG28" s="82"/>
    </row>
    <row r="29" spans="1:33" ht="15">
      <c r="A29" s="91">
        <v>300</v>
      </c>
      <c r="B29" s="92" t="s">
        <v>52</v>
      </c>
      <c r="C29" s="40">
        <v>117839806</v>
      </c>
      <c r="D29" s="40">
        <v>8112750</v>
      </c>
      <c r="E29" s="40">
        <f t="shared" si="0"/>
        <v>125952556</v>
      </c>
      <c r="F29" s="24">
        <v>8</v>
      </c>
      <c r="G29" s="47">
        <v>1837890</v>
      </c>
      <c r="H29" s="47">
        <v>3893</v>
      </c>
      <c r="I29" s="60">
        <v>1.5599999999999999E-2</v>
      </c>
      <c r="J29" s="66"/>
      <c r="K29" s="62">
        <v>98277326</v>
      </c>
      <c r="L29" s="24">
        <v>7</v>
      </c>
      <c r="M29" s="47">
        <v>2521027</v>
      </c>
      <c r="N29" s="56">
        <v>2.5700000000000001E-2</v>
      </c>
      <c r="O29" s="148"/>
      <c r="P29" s="66"/>
      <c r="Q29" s="62">
        <v>121654697</v>
      </c>
      <c r="R29" s="62">
        <v>6210392</v>
      </c>
      <c r="S29" s="24">
        <v>13</v>
      </c>
      <c r="T29" s="47">
        <f>1052390+1663</f>
        <v>1054053</v>
      </c>
      <c r="U29" s="55">
        <f t="shared" si="1"/>
        <v>8.2434776235130146E-3</v>
      </c>
      <c r="V29" s="148"/>
      <c r="W29" s="160"/>
      <c r="X29" s="51">
        <v>454435604</v>
      </c>
      <c r="Y29" s="52">
        <v>29740055</v>
      </c>
      <c r="Z29" s="99">
        <v>19</v>
      </c>
      <c r="AA29" s="51">
        <f>6505411+11150</f>
        <v>6516561</v>
      </c>
      <c r="AB29" s="38">
        <f t="shared" si="2"/>
        <v>1.3459084278336263E-2</v>
      </c>
      <c r="AC29" s="75">
        <v>0.01</v>
      </c>
      <c r="AD29" s="80" t="s">
        <v>149</v>
      </c>
      <c r="AE29" s="81">
        <f t="shared" si="3"/>
        <v>1.6150901134003515E-2</v>
      </c>
      <c r="AG29" s="82"/>
    </row>
    <row r="30" spans="1:33" ht="15">
      <c r="A30" s="91" t="s">
        <v>53</v>
      </c>
      <c r="B30" s="92" t="s">
        <v>152</v>
      </c>
      <c r="C30" s="68">
        <v>749438985</v>
      </c>
      <c r="D30" s="68">
        <v>9506667</v>
      </c>
      <c r="E30" s="68">
        <f t="shared" si="0"/>
        <v>758945652</v>
      </c>
      <c r="F30" s="24">
        <v>22</v>
      </c>
      <c r="G30" s="47">
        <v>11622705</v>
      </c>
      <c r="H30" s="47">
        <v>13404</v>
      </c>
      <c r="I30" s="69">
        <v>1.55E-2</v>
      </c>
      <c r="J30" s="66"/>
      <c r="K30" s="70">
        <v>503051974</v>
      </c>
      <c r="L30" s="24">
        <v>11</v>
      </c>
      <c r="M30" s="47">
        <v>1153042</v>
      </c>
      <c r="N30" s="56">
        <v>2.3E-3</v>
      </c>
      <c r="O30" s="148"/>
      <c r="P30" s="66"/>
      <c r="Q30" s="70">
        <v>581271598</v>
      </c>
      <c r="R30" s="70">
        <v>8420596</v>
      </c>
      <c r="S30" s="24">
        <v>22</v>
      </c>
      <c r="T30" s="47">
        <f>244440+9653</f>
        <v>254093</v>
      </c>
      <c r="U30" s="55">
        <f t="shared" si="1"/>
        <v>4.3089089966824286E-4</v>
      </c>
      <c r="V30" s="148"/>
      <c r="W30" s="160"/>
      <c r="X30" s="51">
        <v>2562945840</v>
      </c>
      <c r="Y30" s="52">
        <v>37599912</v>
      </c>
      <c r="Z30" s="99">
        <v>37</v>
      </c>
      <c r="AA30" s="51">
        <f>17656084+47512</f>
        <v>17703596</v>
      </c>
      <c r="AB30" s="38">
        <f t="shared" si="2"/>
        <v>6.807646428210197E-3</v>
      </c>
      <c r="AC30" s="75">
        <v>0.01</v>
      </c>
      <c r="AD30" s="80" t="s">
        <v>138</v>
      </c>
      <c r="AE30" s="81">
        <v>0.01</v>
      </c>
      <c r="AG30" s="82"/>
    </row>
    <row r="31" spans="1:33" ht="15">
      <c r="A31" s="91">
        <v>305</v>
      </c>
      <c r="B31" s="92" t="s">
        <v>55</v>
      </c>
      <c r="C31" s="40">
        <v>4887286</v>
      </c>
      <c r="D31" s="40">
        <v>436254</v>
      </c>
      <c r="E31" s="40">
        <f t="shared" si="0"/>
        <v>5323540</v>
      </c>
      <c r="F31" s="24">
        <v>9</v>
      </c>
      <c r="G31" s="47">
        <v>380182</v>
      </c>
      <c r="H31" s="47">
        <v>1051</v>
      </c>
      <c r="I31" s="60">
        <v>7.7799999999999994E-2</v>
      </c>
      <c r="J31" s="66"/>
      <c r="K31" s="62">
        <v>5153141</v>
      </c>
      <c r="L31" s="24">
        <v>6</v>
      </c>
      <c r="M31" s="47">
        <v>430381</v>
      </c>
      <c r="N31" s="56">
        <v>8.3500000000000005E-2</v>
      </c>
      <c r="O31" s="148"/>
      <c r="P31" s="66"/>
      <c r="Q31" s="62">
        <v>5908305</v>
      </c>
      <c r="R31" s="62">
        <v>678201</v>
      </c>
      <c r="S31" s="24">
        <v>8</v>
      </c>
      <c r="T31" s="47">
        <f>118741+1824</f>
        <v>120565</v>
      </c>
      <c r="U31" s="55">
        <f t="shared" si="1"/>
        <v>1.8304849338936304E-2</v>
      </c>
      <c r="V31" s="148"/>
      <c r="W31" s="160"/>
      <c r="X31" s="51">
        <v>19669099</v>
      </c>
      <c r="Y31" s="52">
        <v>2242599</v>
      </c>
      <c r="Z31" s="99">
        <v>12</v>
      </c>
      <c r="AA31" s="51">
        <f>1227765+3246</f>
        <v>1231011</v>
      </c>
      <c r="AB31" s="38">
        <f t="shared" si="2"/>
        <v>5.6180538815385282E-2</v>
      </c>
      <c r="AC31" s="75">
        <v>0.05</v>
      </c>
      <c r="AD31" s="80" t="s">
        <v>149</v>
      </c>
      <c r="AE31" s="81">
        <f t="shared" si="3"/>
        <v>6.7416646578462344E-2</v>
      </c>
      <c r="AG31" s="82"/>
    </row>
    <row r="32" spans="1:33" ht="15">
      <c r="A32" s="91">
        <v>477</v>
      </c>
      <c r="B32" s="92" t="s">
        <v>56</v>
      </c>
      <c r="C32" s="40">
        <v>40457160</v>
      </c>
      <c r="D32" s="40">
        <v>3562902</v>
      </c>
      <c r="E32" s="40">
        <f t="shared" si="0"/>
        <v>44020062</v>
      </c>
      <c r="F32" s="24">
        <v>11</v>
      </c>
      <c r="G32" s="47">
        <v>1015143</v>
      </c>
      <c r="H32" s="47">
        <v>879</v>
      </c>
      <c r="I32" s="60">
        <v>2.5100000000000001E-2</v>
      </c>
      <c r="J32" s="66"/>
      <c r="K32" s="62">
        <v>15850974</v>
      </c>
      <c r="L32" s="24">
        <v>6</v>
      </c>
      <c r="M32" s="47">
        <v>185583</v>
      </c>
      <c r="N32" s="56">
        <v>1.6999999999999999E-3</v>
      </c>
      <c r="O32" s="148"/>
      <c r="P32" s="66"/>
      <c r="Q32" s="62">
        <v>22728765</v>
      </c>
      <c r="R32" s="62">
        <v>3794669</v>
      </c>
      <c r="S32" s="24">
        <v>13</v>
      </c>
      <c r="T32" s="47">
        <f>334967+4286</f>
        <v>339253</v>
      </c>
      <c r="U32" s="55">
        <f t="shared" si="1"/>
        <v>1.2790689169434094E-2</v>
      </c>
      <c r="V32" s="148"/>
      <c r="W32" s="160"/>
      <c r="X32" s="51">
        <v>93963590</v>
      </c>
      <c r="Y32" s="52">
        <v>15591524</v>
      </c>
      <c r="Z32" s="99">
        <v>22</v>
      </c>
      <c r="AA32" s="51">
        <f>1712914+7999</f>
        <v>1720913</v>
      </c>
      <c r="AB32" s="38">
        <f t="shared" si="2"/>
        <v>1.5708194142356514E-2</v>
      </c>
      <c r="AC32" s="74">
        <v>1.0999999999999999E-2</v>
      </c>
      <c r="AD32" s="80" t="s">
        <v>149</v>
      </c>
      <c r="AE32" s="81">
        <f t="shared" si="3"/>
        <v>1.8849832970827818E-2</v>
      </c>
      <c r="AG32" s="82"/>
    </row>
    <row r="33" spans="1:33" ht="15">
      <c r="A33" s="91" t="s">
        <v>57</v>
      </c>
      <c r="B33" s="92" t="s">
        <v>58</v>
      </c>
      <c r="C33" s="40">
        <v>13808387</v>
      </c>
      <c r="D33" s="40">
        <v>314460</v>
      </c>
      <c r="E33" s="40">
        <f t="shared" si="0"/>
        <v>14122847</v>
      </c>
      <c r="F33" s="24">
        <v>2</v>
      </c>
      <c r="G33" s="47">
        <v>9696</v>
      </c>
      <c r="H33" s="47">
        <v>0</v>
      </c>
      <c r="I33" s="60">
        <v>6.9999999999999999E-4</v>
      </c>
      <c r="J33" s="66"/>
      <c r="K33" s="62">
        <v>12016247</v>
      </c>
      <c r="L33" s="24">
        <v>2</v>
      </c>
      <c r="M33" s="47">
        <v>7850</v>
      </c>
      <c r="N33" s="56">
        <v>6.9999999999999999E-4</v>
      </c>
      <c r="O33" s="148"/>
      <c r="P33" s="66"/>
      <c r="Q33" s="62">
        <v>14888330</v>
      </c>
      <c r="R33" s="62">
        <v>412705</v>
      </c>
      <c r="S33" s="24">
        <v>1</v>
      </c>
      <c r="T33" s="47">
        <v>-23187</v>
      </c>
      <c r="U33" s="55">
        <f t="shared" si="1"/>
        <v>-1.5153876845585936E-3</v>
      </c>
      <c r="V33" s="148"/>
      <c r="W33" s="160"/>
      <c r="X33" s="51">
        <v>51998333</v>
      </c>
      <c r="Y33" s="52">
        <v>1369174</v>
      </c>
      <c r="Z33" s="99">
        <v>4</v>
      </c>
      <c r="AA33" s="51">
        <f>18661+854</f>
        <v>19515</v>
      </c>
      <c r="AB33" s="38">
        <f t="shared" si="2"/>
        <v>3.6567194341680602E-4</v>
      </c>
      <c r="AC33" s="75">
        <v>0.01</v>
      </c>
      <c r="AD33" s="80" t="s">
        <v>138</v>
      </c>
      <c r="AE33" s="81">
        <v>0.01</v>
      </c>
      <c r="AG33" s="82"/>
    </row>
    <row r="34" spans="1:33" ht="15">
      <c r="A34" s="91" t="s">
        <v>59</v>
      </c>
      <c r="B34" s="92" t="s">
        <v>153</v>
      </c>
      <c r="C34" s="41">
        <v>479963</v>
      </c>
      <c r="D34" s="41">
        <v>0</v>
      </c>
      <c r="E34" s="40">
        <f t="shared" si="0"/>
        <v>479963</v>
      </c>
      <c r="F34" s="25">
        <v>0</v>
      </c>
      <c r="G34" s="48">
        <v>0</v>
      </c>
      <c r="H34" s="47">
        <v>0</v>
      </c>
      <c r="I34" s="60">
        <v>0</v>
      </c>
      <c r="J34" s="66"/>
      <c r="K34" s="63">
        <v>302284</v>
      </c>
      <c r="L34" s="25">
        <v>0</v>
      </c>
      <c r="M34" s="48">
        <v>0</v>
      </c>
      <c r="N34" s="56">
        <v>0</v>
      </c>
      <c r="O34" s="148"/>
      <c r="P34" s="66"/>
      <c r="Q34" s="63">
        <v>158883</v>
      </c>
      <c r="R34" s="63">
        <v>0</v>
      </c>
      <c r="S34" s="25">
        <v>0</v>
      </c>
      <c r="T34" s="48">
        <v>0</v>
      </c>
      <c r="U34" s="55">
        <f t="shared" si="1"/>
        <v>0</v>
      </c>
      <c r="V34" s="148"/>
      <c r="W34" s="160"/>
      <c r="X34" s="51">
        <v>1236926</v>
      </c>
      <c r="Y34" s="52">
        <v>0</v>
      </c>
      <c r="Z34" s="99">
        <v>0</v>
      </c>
      <c r="AA34" s="51">
        <v>0</v>
      </c>
      <c r="AB34" s="38">
        <f t="shared" si="2"/>
        <v>0</v>
      </c>
      <c r="AC34" s="75">
        <v>0.01</v>
      </c>
      <c r="AD34" s="80" t="s">
        <v>138</v>
      </c>
      <c r="AE34" s="81">
        <v>0.01</v>
      </c>
      <c r="AG34" s="82"/>
    </row>
    <row r="35" spans="1:33" ht="15">
      <c r="A35" s="91" t="s">
        <v>61</v>
      </c>
      <c r="B35" s="92" t="s">
        <v>154</v>
      </c>
      <c r="C35" s="40">
        <v>449969</v>
      </c>
      <c r="D35" s="40">
        <v>2058</v>
      </c>
      <c r="E35" s="40">
        <f t="shared" si="0"/>
        <v>452027</v>
      </c>
      <c r="F35" s="24">
        <v>0</v>
      </c>
      <c r="G35" s="47">
        <v>0</v>
      </c>
      <c r="H35" s="47">
        <v>0</v>
      </c>
      <c r="I35" s="60">
        <v>0</v>
      </c>
      <c r="J35" s="66"/>
      <c r="K35" s="62">
        <v>52480</v>
      </c>
      <c r="L35" s="24">
        <v>0</v>
      </c>
      <c r="M35" s="47">
        <v>0</v>
      </c>
      <c r="N35" s="56">
        <v>0</v>
      </c>
      <c r="O35" s="148"/>
      <c r="P35" s="66"/>
      <c r="Q35" s="62">
        <v>63696</v>
      </c>
      <c r="R35" s="62">
        <v>3818</v>
      </c>
      <c r="S35" s="24">
        <v>0</v>
      </c>
      <c r="T35" s="47">
        <v>0</v>
      </c>
      <c r="U35" s="55">
        <f t="shared" si="1"/>
        <v>0</v>
      </c>
      <c r="V35" s="148"/>
      <c r="W35" s="160"/>
      <c r="X35" s="51">
        <v>737681</v>
      </c>
      <c r="Y35" s="52">
        <v>17666</v>
      </c>
      <c r="Z35" s="99">
        <v>1</v>
      </c>
      <c r="AA35" s="51">
        <v>3391</v>
      </c>
      <c r="AB35" s="38">
        <f t="shared" si="2"/>
        <v>4.4893274217015491E-3</v>
      </c>
      <c r="AC35" s="75">
        <v>0.01</v>
      </c>
      <c r="AD35" s="80" t="s">
        <v>138</v>
      </c>
      <c r="AE35" s="81">
        <v>0.01</v>
      </c>
      <c r="AG35" s="82"/>
    </row>
    <row r="36" spans="1:33" ht="15">
      <c r="A36" s="91" t="s">
        <v>63</v>
      </c>
      <c r="B36" s="92" t="s">
        <v>155</v>
      </c>
      <c r="C36" s="41">
        <v>16238</v>
      </c>
      <c r="D36" s="41">
        <v>3968</v>
      </c>
      <c r="E36" s="40">
        <f t="shared" ref="E36:E58" si="4">SUM(C36:D36)</f>
        <v>20206</v>
      </c>
      <c r="F36" s="25">
        <v>0</v>
      </c>
      <c r="G36" s="48">
        <v>0</v>
      </c>
      <c r="H36" s="47">
        <v>0</v>
      </c>
      <c r="I36" s="60">
        <v>0</v>
      </c>
      <c r="J36" s="66"/>
      <c r="K36" s="63">
        <v>29162</v>
      </c>
      <c r="L36" s="25">
        <v>0</v>
      </c>
      <c r="M36" s="48">
        <v>0</v>
      </c>
      <c r="N36" s="56">
        <v>0</v>
      </c>
      <c r="O36" s="148"/>
      <c r="P36" s="66"/>
      <c r="Q36" s="63">
        <v>679</v>
      </c>
      <c r="R36" s="63">
        <v>6316</v>
      </c>
      <c r="S36" s="25">
        <v>0</v>
      </c>
      <c r="T36" s="48">
        <v>0</v>
      </c>
      <c r="U36" s="55">
        <f t="shared" si="1"/>
        <v>0</v>
      </c>
      <c r="V36" s="148"/>
      <c r="W36" s="160"/>
      <c r="X36" s="51">
        <v>59363</v>
      </c>
      <c r="Y36" s="52">
        <v>16816</v>
      </c>
      <c r="Z36" s="99">
        <v>0</v>
      </c>
      <c r="AA36" s="51">
        <v>0</v>
      </c>
      <c r="AB36" s="38">
        <f t="shared" si="2"/>
        <v>0</v>
      </c>
      <c r="AC36" s="75">
        <v>0.01</v>
      </c>
      <c r="AD36" s="80" t="s">
        <v>138</v>
      </c>
      <c r="AE36" s="81">
        <v>0.01</v>
      </c>
      <c r="AG36" s="82"/>
    </row>
    <row r="37" spans="1:33" ht="15">
      <c r="A37" s="91" t="s">
        <v>65</v>
      </c>
      <c r="B37" s="92" t="s">
        <v>66</v>
      </c>
      <c r="C37" s="40">
        <v>26731373</v>
      </c>
      <c r="D37" s="40">
        <v>81121</v>
      </c>
      <c r="E37" s="40">
        <f t="shared" si="4"/>
        <v>26812494</v>
      </c>
      <c r="F37" s="24">
        <v>2</v>
      </c>
      <c r="G37" s="47">
        <v>3301</v>
      </c>
      <c r="H37" s="47">
        <v>0</v>
      </c>
      <c r="I37" s="60">
        <v>0</v>
      </c>
      <c r="J37" s="66"/>
      <c r="K37" s="62">
        <v>59736780</v>
      </c>
      <c r="L37" s="24">
        <v>1</v>
      </c>
      <c r="M37" s="47">
        <v>2748</v>
      </c>
      <c r="N37" s="56">
        <v>0</v>
      </c>
      <c r="O37" s="148"/>
      <c r="P37" s="66"/>
      <c r="Q37" s="62">
        <v>195849881</v>
      </c>
      <c r="R37" s="62">
        <v>71046</v>
      </c>
      <c r="S37" s="24">
        <v>3</v>
      </c>
      <c r="T37" s="47">
        <v>10966</v>
      </c>
      <c r="U37" s="55">
        <f t="shared" si="1"/>
        <v>5.5971560404060359E-5</v>
      </c>
      <c r="V37" s="148"/>
      <c r="W37" s="160"/>
      <c r="X37" s="51">
        <v>310035437</v>
      </c>
      <c r="Y37" s="52">
        <v>310153</v>
      </c>
      <c r="Z37" s="99">
        <v>4</v>
      </c>
      <c r="AA37" s="51">
        <v>22274</v>
      </c>
      <c r="AB37" s="38">
        <f t="shared" si="2"/>
        <v>7.1771601458876859E-5</v>
      </c>
      <c r="AC37" s="75">
        <v>0.01</v>
      </c>
      <c r="AD37" s="80" t="s">
        <v>138</v>
      </c>
      <c r="AE37" s="81">
        <v>0.01</v>
      </c>
      <c r="AG37" s="82"/>
    </row>
    <row r="38" spans="1:33" ht="15">
      <c r="A38" s="91">
        <v>195</v>
      </c>
      <c r="B38" s="92" t="s">
        <v>67</v>
      </c>
      <c r="C38" s="40">
        <v>6283571</v>
      </c>
      <c r="D38" s="40">
        <v>59607</v>
      </c>
      <c r="E38" s="40">
        <f t="shared" si="4"/>
        <v>6343178</v>
      </c>
      <c r="F38" s="24">
        <v>2</v>
      </c>
      <c r="G38" s="47">
        <v>27689</v>
      </c>
      <c r="H38" s="47">
        <v>0</v>
      </c>
      <c r="I38" s="60">
        <v>4.4000000000000003E-3</v>
      </c>
      <c r="J38" s="66"/>
      <c r="K38" s="62">
        <v>3514881</v>
      </c>
      <c r="L38" s="24">
        <v>2</v>
      </c>
      <c r="M38" s="47">
        <v>20728</v>
      </c>
      <c r="N38" s="56">
        <v>5.8999999999999999E-3</v>
      </c>
      <c r="O38" s="148"/>
      <c r="P38" s="66"/>
      <c r="Q38" s="62">
        <v>5197977</v>
      </c>
      <c r="R38" s="62">
        <v>78659</v>
      </c>
      <c r="S38" s="24">
        <v>1</v>
      </c>
      <c r="T38" s="47">
        <v>44355</v>
      </c>
      <c r="U38" s="55">
        <f t="shared" si="1"/>
        <v>8.4059237741621745E-3</v>
      </c>
      <c r="V38" s="148"/>
      <c r="W38" s="160"/>
      <c r="X38" s="51">
        <v>17529065</v>
      </c>
      <c r="Y38" s="52">
        <v>274663</v>
      </c>
      <c r="Z38" s="99">
        <v>2</v>
      </c>
      <c r="AA38" s="51">
        <v>120045</v>
      </c>
      <c r="AB38" s="38">
        <f t="shared" si="2"/>
        <v>6.7426889469441456E-3</v>
      </c>
      <c r="AC38" s="74">
        <v>1.3524523966334641E-2</v>
      </c>
      <c r="AD38" s="80" t="s">
        <v>138</v>
      </c>
      <c r="AE38" s="81">
        <v>0.01</v>
      </c>
      <c r="AG38" s="82"/>
    </row>
    <row r="39" spans="1:33" ht="15">
      <c r="A39" s="91">
        <v>245</v>
      </c>
      <c r="B39" s="92" t="s">
        <v>68</v>
      </c>
      <c r="C39" s="40">
        <v>5132909</v>
      </c>
      <c r="D39" s="40">
        <v>908668</v>
      </c>
      <c r="E39" s="40">
        <f t="shared" si="4"/>
        <v>6041577</v>
      </c>
      <c r="F39" s="24">
        <v>5</v>
      </c>
      <c r="G39" s="47">
        <v>49004</v>
      </c>
      <c r="H39" s="47">
        <v>733</v>
      </c>
      <c r="I39" s="60">
        <v>9.4999999999999998E-3</v>
      </c>
      <c r="J39" s="66"/>
      <c r="K39" s="62">
        <v>8155884</v>
      </c>
      <c r="L39" s="24">
        <v>7</v>
      </c>
      <c r="M39" s="47">
        <v>1360519</v>
      </c>
      <c r="N39" s="56">
        <v>0.1668</v>
      </c>
      <c r="O39" s="148"/>
      <c r="P39" s="66"/>
      <c r="Q39" s="62">
        <v>7143436</v>
      </c>
      <c r="R39" s="62">
        <v>534622</v>
      </c>
      <c r="S39" s="24">
        <v>4</v>
      </c>
      <c r="T39" s="47">
        <v>969516</v>
      </c>
      <c r="U39" s="55">
        <f t="shared" si="1"/>
        <v>0.1262709919617695</v>
      </c>
      <c r="V39" s="148"/>
      <c r="W39" s="160"/>
      <c r="X39" s="51">
        <v>27892156</v>
      </c>
      <c r="Y39" s="52">
        <v>2668064</v>
      </c>
      <c r="Z39" s="99">
        <v>12</v>
      </c>
      <c r="AA39" s="51">
        <f>3664321+2039</f>
        <v>3666360</v>
      </c>
      <c r="AB39" s="38">
        <f t="shared" si="2"/>
        <v>0.11997164941875418</v>
      </c>
      <c r="AC39" s="74">
        <v>6.1725470042098649E-2</v>
      </c>
      <c r="AD39" s="80" t="s">
        <v>149</v>
      </c>
      <c r="AE39" s="81">
        <f t="shared" si="3"/>
        <v>0.14396597930250501</v>
      </c>
      <c r="AG39" s="82"/>
    </row>
    <row r="40" spans="1:33" ht="15">
      <c r="A40" s="91" t="s">
        <v>69</v>
      </c>
      <c r="B40" s="92" t="s">
        <v>70</v>
      </c>
      <c r="C40" s="40">
        <v>1233554</v>
      </c>
      <c r="D40" s="40">
        <v>5750</v>
      </c>
      <c r="E40" s="40">
        <f t="shared" si="4"/>
        <v>1239304</v>
      </c>
      <c r="F40" s="24">
        <v>0</v>
      </c>
      <c r="G40" s="47">
        <v>0</v>
      </c>
      <c r="H40" s="47">
        <v>0</v>
      </c>
      <c r="I40" s="60">
        <v>0</v>
      </c>
      <c r="J40" s="66"/>
      <c r="K40" s="62">
        <v>646163</v>
      </c>
      <c r="L40" s="24">
        <v>1</v>
      </c>
      <c r="M40" s="47">
        <v>28585</v>
      </c>
      <c r="N40" s="56">
        <v>4.4200000000000003E-2</v>
      </c>
      <c r="O40" s="148"/>
      <c r="P40" s="66"/>
      <c r="Q40" s="62">
        <v>487896</v>
      </c>
      <c r="R40" s="62">
        <v>10480</v>
      </c>
      <c r="S40" s="24">
        <v>0</v>
      </c>
      <c r="T40" s="47">
        <v>0</v>
      </c>
      <c r="U40" s="55">
        <f t="shared" si="1"/>
        <v>0</v>
      </c>
      <c r="V40" s="148"/>
      <c r="W40" s="160"/>
      <c r="X40" s="51">
        <v>4002257</v>
      </c>
      <c r="Y40" s="52">
        <v>35525</v>
      </c>
      <c r="Z40" s="99">
        <v>1</v>
      </c>
      <c r="AA40" s="51">
        <v>37600</v>
      </c>
      <c r="AB40" s="38">
        <f t="shared" si="2"/>
        <v>9.3120430969279664E-3</v>
      </c>
      <c r="AC40" s="75">
        <v>0.01</v>
      </c>
      <c r="AD40" s="80" t="s">
        <v>138</v>
      </c>
      <c r="AE40" s="81">
        <f t="shared" si="3"/>
        <v>1.1174451716313559E-2</v>
      </c>
      <c r="AG40" s="82"/>
    </row>
    <row r="41" spans="1:33" ht="15">
      <c r="A41" s="91" t="s">
        <v>71</v>
      </c>
      <c r="B41" s="92" t="s">
        <v>156</v>
      </c>
      <c r="C41" s="40">
        <v>9179681</v>
      </c>
      <c r="D41" s="40">
        <v>112141</v>
      </c>
      <c r="E41" s="40">
        <f t="shared" si="4"/>
        <v>9291822</v>
      </c>
      <c r="F41" s="24">
        <v>0</v>
      </c>
      <c r="G41" s="47">
        <v>0</v>
      </c>
      <c r="H41" s="47">
        <v>0</v>
      </c>
      <c r="I41" s="60">
        <v>0</v>
      </c>
      <c r="J41" s="66"/>
      <c r="K41" s="62">
        <v>14029649</v>
      </c>
      <c r="L41" s="24">
        <v>1</v>
      </c>
      <c r="M41" s="47">
        <v>4400</v>
      </c>
      <c r="N41" s="56">
        <v>2.9999999999999997E-4</v>
      </c>
      <c r="O41" s="148"/>
      <c r="P41" s="66"/>
      <c r="Q41" s="62">
        <v>16839464</v>
      </c>
      <c r="R41" s="62">
        <v>154909</v>
      </c>
      <c r="S41" s="24">
        <v>1</v>
      </c>
      <c r="T41" s="47">
        <v>18300</v>
      </c>
      <c r="U41" s="55">
        <f t="shared" si="1"/>
        <v>1.076827017978245E-3</v>
      </c>
      <c r="V41" s="148"/>
      <c r="W41" s="160"/>
      <c r="X41" s="51">
        <v>54893989</v>
      </c>
      <c r="Y41" s="52">
        <v>395757</v>
      </c>
      <c r="Z41" s="99">
        <v>1</v>
      </c>
      <c r="AA41" s="51">
        <v>22700</v>
      </c>
      <c r="AB41" s="38">
        <f t="shared" si="2"/>
        <v>4.1056437481192264E-4</v>
      </c>
      <c r="AC41" s="75">
        <v>0.01</v>
      </c>
      <c r="AD41" s="80" t="s">
        <v>138</v>
      </c>
      <c r="AE41" s="81">
        <v>0.01</v>
      </c>
      <c r="AG41" s="82"/>
    </row>
    <row r="42" spans="1:33" ht="15">
      <c r="A42" s="91" t="s">
        <v>73</v>
      </c>
      <c r="B42" s="92" t="s">
        <v>157</v>
      </c>
      <c r="C42" s="41">
        <v>629106</v>
      </c>
      <c r="D42" s="41">
        <v>40741</v>
      </c>
      <c r="E42" s="40">
        <f t="shared" si="4"/>
        <v>669847</v>
      </c>
      <c r="F42" s="25">
        <v>0</v>
      </c>
      <c r="G42" s="48">
        <v>0</v>
      </c>
      <c r="H42" s="47">
        <v>0</v>
      </c>
      <c r="I42" s="60">
        <v>0</v>
      </c>
      <c r="J42" s="66"/>
      <c r="K42" s="63">
        <v>633140</v>
      </c>
      <c r="L42" s="25">
        <v>0</v>
      </c>
      <c r="M42" s="48">
        <v>0</v>
      </c>
      <c r="N42" s="56">
        <v>0</v>
      </c>
      <c r="O42" s="148"/>
      <c r="P42" s="66"/>
      <c r="Q42" s="63">
        <v>850494</v>
      </c>
      <c r="R42" s="63">
        <v>95429</v>
      </c>
      <c r="S42" s="25">
        <v>0</v>
      </c>
      <c r="T42" s="48">
        <v>0</v>
      </c>
      <c r="U42" s="55">
        <f t="shared" si="1"/>
        <v>0</v>
      </c>
      <c r="V42" s="148"/>
      <c r="W42" s="160"/>
      <c r="X42" s="51">
        <v>2495738</v>
      </c>
      <c r="Y42" s="52">
        <v>207844</v>
      </c>
      <c r="Z42" s="99">
        <v>0</v>
      </c>
      <c r="AA42" s="51">
        <v>0</v>
      </c>
      <c r="AB42" s="38">
        <f t="shared" si="2"/>
        <v>0</v>
      </c>
      <c r="AC42" s="75">
        <v>0.01</v>
      </c>
      <c r="AD42" s="80" t="s">
        <v>138</v>
      </c>
      <c r="AE42" s="81">
        <v>0.01</v>
      </c>
      <c r="AG42" s="82"/>
    </row>
    <row r="43" spans="1:33" ht="15">
      <c r="A43" s="91">
        <v>229</v>
      </c>
      <c r="B43" s="92" t="s">
        <v>158</v>
      </c>
      <c r="C43" s="40">
        <v>185191</v>
      </c>
      <c r="D43" s="40">
        <v>0</v>
      </c>
      <c r="E43" s="40">
        <f t="shared" si="4"/>
        <v>185191</v>
      </c>
      <c r="F43" s="24">
        <v>2</v>
      </c>
      <c r="G43" s="47">
        <v>19066</v>
      </c>
      <c r="H43" s="47">
        <v>0</v>
      </c>
      <c r="I43" s="60">
        <v>0.10299999999999999</v>
      </c>
      <c r="J43" s="66"/>
      <c r="K43" s="62">
        <v>192593</v>
      </c>
      <c r="L43" s="24">
        <v>1</v>
      </c>
      <c r="M43" s="47">
        <v>25417</v>
      </c>
      <c r="N43" s="56">
        <v>0.13200000000000001</v>
      </c>
      <c r="O43" s="148"/>
      <c r="P43" s="66"/>
      <c r="Q43" s="62">
        <v>601800</v>
      </c>
      <c r="R43" s="62">
        <v>0</v>
      </c>
      <c r="S43" s="24">
        <v>1</v>
      </c>
      <c r="T43" s="47">
        <v>53046</v>
      </c>
      <c r="U43" s="55">
        <f t="shared" si="1"/>
        <v>8.8145563310069786E-2</v>
      </c>
      <c r="V43" s="148"/>
      <c r="W43" s="160"/>
      <c r="X43" s="51">
        <v>1094232</v>
      </c>
      <c r="Y43" s="52">
        <v>0</v>
      </c>
      <c r="Z43" s="99">
        <v>2</v>
      </c>
      <c r="AA43" s="51">
        <v>100235</v>
      </c>
      <c r="AB43" s="38">
        <f t="shared" si="2"/>
        <v>9.160306041132045E-2</v>
      </c>
      <c r="AC43" s="75">
        <v>0.01</v>
      </c>
      <c r="AD43" s="80" t="s">
        <v>149</v>
      </c>
      <c r="AE43" s="81">
        <f t="shared" si="3"/>
        <v>0.10992367249358453</v>
      </c>
      <c r="AG43" s="82"/>
    </row>
    <row r="44" spans="1:33" ht="15.75" customHeight="1">
      <c r="A44" s="91" t="s">
        <v>76</v>
      </c>
      <c r="B44" s="92" t="s">
        <v>159</v>
      </c>
      <c r="C44" s="40">
        <v>197436</v>
      </c>
      <c r="D44" s="40">
        <v>16395</v>
      </c>
      <c r="E44" s="40">
        <f t="shared" si="4"/>
        <v>213831</v>
      </c>
      <c r="F44" s="24">
        <v>0</v>
      </c>
      <c r="G44" s="47">
        <v>0</v>
      </c>
      <c r="H44" s="47">
        <v>0</v>
      </c>
      <c r="I44" s="60">
        <v>0</v>
      </c>
      <c r="J44" s="66"/>
      <c r="K44" s="62">
        <v>47930</v>
      </c>
      <c r="L44" s="24">
        <v>1</v>
      </c>
      <c r="M44" s="47">
        <v>9236</v>
      </c>
      <c r="N44" s="56">
        <v>0.1928</v>
      </c>
      <c r="O44" s="148"/>
      <c r="P44" s="66"/>
      <c r="Q44" s="62">
        <v>110232</v>
      </c>
      <c r="R44" s="62">
        <v>15170</v>
      </c>
      <c r="S44" s="24">
        <v>1</v>
      </c>
      <c r="T44" s="47">
        <v>12353</v>
      </c>
      <c r="U44" s="55">
        <f t="shared" si="1"/>
        <v>9.850720084209183E-2</v>
      </c>
      <c r="V44" s="148"/>
      <c r="W44" s="160"/>
      <c r="X44" s="51">
        <v>489318</v>
      </c>
      <c r="Y44" s="52">
        <v>65281</v>
      </c>
      <c r="Z44" s="99">
        <v>1</v>
      </c>
      <c r="AA44" s="51">
        <v>21589</v>
      </c>
      <c r="AB44" s="38">
        <f t="shared" si="2"/>
        <v>3.8927224895825632E-2</v>
      </c>
      <c r="AC44" s="75">
        <v>0.01</v>
      </c>
      <c r="AD44" s="80" t="s">
        <v>149</v>
      </c>
      <c r="AE44" s="81">
        <f t="shared" si="3"/>
        <v>4.6712669874990759E-2</v>
      </c>
      <c r="AG44" s="82"/>
    </row>
    <row r="45" spans="1:33" ht="15">
      <c r="A45" s="129">
        <v>100</v>
      </c>
      <c r="B45" s="92" t="s">
        <v>78</v>
      </c>
      <c r="C45" s="41">
        <v>10887304</v>
      </c>
      <c r="D45" s="41">
        <v>253377</v>
      </c>
      <c r="E45" s="40">
        <f t="shared" si="4"/>
        <v>11140681</v>
      </c>
      <c r="F45" s="26">
        <v>1</v>
      </c>
      <c r="G45" s="48">
        <v>2042</v>
      </c>
      <c r="H45" s="47">
        <v>0</v>
      </c>
      <c r="I45" s="60">
        <v>2.0000000000000001E-4</v>
      </c>
      <c r="J45" s="66"/>
      <c r="K45" s="63">
        <v>9318628</v>
      </c>
      <c r="L45" s="26">
        <v>1</v>
      </c>
      <c r="M45" s="48">
        <v>62</v>
      </c>
      <c r="N45" s="56">
        <v>0</v>
      </c>
      <c r="O45" s="148"/>
      <c r="P45" s="66"/>
      <c r="Q45" s="63">
        <v>6799432</v>
      </c>
      <c r="R45" s="63">
        <v>312416</v>
      </c>
      <c r="S45" s="26">
        <v>1</v>
      </c>
      <c r="T45" s="48">
        <v>920</v>
      </c>
      <c r="U45" s="55">
        <f t="shared" si="1"/>
        <v>1.29361594904728E-4</v>
      </c>
      <c r="V45" s="148"/>
      <c r="W45" s="160"/>
      <c r="X45" s="51">
        <v>34617592</v>
      </c>
      <c r="Y45" s="52">
        <v>1225933</v>
      </c>
      <c r="Z45" s="99">
        <v>1</v>
      </c>
      <c r="AA45" s="51">
        <v>4440</v>
      </c>
      <c r="AB45" s="38">
        <f t="shared" si="2"/>
        <v>1.2387174531522778E-4</v>
      </c>
      <c r="AC45" s="75">
        <v>0.01</v>
      </c>
      <c r="AD45" s="80" t="s">
        <v>138</v>
      </c>
      <c r="AE45" s="81">
        <v>0.01</v>
      </c>
      <c r="AG45" s="82"/>
    </row>
    <row r="46" spans="1:33" ht="15">
      <c r="A46" s="91" t="s">
        <v>79</v>
      </c>
      <c r="B46" s="92" t="s">
        <v>80</v>
      </c>
      <c r="C46" s="40">
        <v>3793677</v>
      </c>
      <c r="D46" s="40">
        <v>9867</v>
      </c>
      <c r="E46" s="40">
        <f t="shared" si="4"/>
        <v>3803544</v>
      </c>
      <c r="F46" s="24">
        <v>0</v>
      </c>
      <c r="G46" s="47">
        <v>0</v>
      </c>
      <c r="H46" s="47">
        <v>0</v>
      </c>
      <c r="I46" s="60">
        <v>0</v>
      </c>
      <c r="J46" s="66"/>
      <c r="K46" s="62">
        <v>3915352</v>
      </c>
      <c r="L46" s="24">
        <v>0</v>
      </c>
      <c r="M46" s="47">
        <v>0</v>
      </c>
      <c r="N46" s="56">
        <v>0</v>
      </c>
      <c r="O46" s="148"/>
      <c r="P46" s="66"/>
      <c r="Q46" s="62">
        <v>3570633</v>
      </c>
      <c r="R46" s="62">
        <v>5192</v>
      </c>
      <c r="S46" s="24">
        <v>0</v>
      </c>
      <c r="T46" s="47">
        <v>0</v>
      </c>
      <c r="U46" s="55">
        <f t="shared" si="1"/>
        <v>0</v>
      </c>
      <c r="V46" s="148"/>
      <c r="W46" s="160"/>
      <c r="X46" s="51">
        <v>12999749</v>
      </c>
      <c r="Y46" s="52">
        <v>22955</v>
      </c>
      <c r="Z46" s="99">
        <v>0</v>
      </c>
      <c r="AA46" s="51">
        <v>0</v>
      </c>
      <c r="AB46" s="38">
        <f t="shared" si="2"/>
        <v>0</v>
      </c>
      <c r="AC46" s="75">
        <v>0.01</v>
      </c>
      <c r="AD46" s="80" t="s">
        <v>138</v>
      </c>
      <c r="AE46" s="81">
        <v>0.01</v>
      </c>
      <c r="AG46" s="82"/>
    </row>
    <row r="47" spans="1:33" ht="15">
      <c r="A47" s="91" t="s">
        <v>81</v>
      </c>
      <c r="B47" s="92" t="s">
        <v>82</v>
      </c>
      <c r="C47" s="41">
        <v>902650</v>
      </c>
      <c r="D47" s="41">
        <v>24772</v>
      </c>
      <c r="E47" s="40">
        <f t="shared" si="4"/>
        <v>927422</v>
      </c>
      <c r="F47" s="25">
        <v>0</v>
      </c>
      <c r="G47" s="48">
        <v>0</v>
      </c>
      <c r="H47" s="47">
        <v>0</v>
      </c>
      <c r="I47" s="60">
        <v>0</v>
      </c>
      <c r="J47" s="66"/>
      <c r="K47" s="63">
        <v>716723</v>
      </c>
      <c r="L47" s="25">
        <v>0</v>
      </c>
      <c r="M47" s="48">
        <v>0</v>
      </c>
      <c r="N47" s="56">
        <v>0</v>
      </c>
      <c r="O47" s="148"/>
      <c r="P47" s="66"/>
      <c r="Q47" s="63">
        <v>869342</v>
      </c>
      <c r="R47" s="63">
        <v>5898</v>
      </c>
      <c r="S47" s="25">
        <v>0</v>
      </c>
      <c r="T47" s="48">
        <v>0</v>
      </c>
      <c r="U47" s="55">
        <f t="shared" si="1"/>
        <v>0</v>
      </c>
      <c r="V47" s="148"/>
      <c r="W47" s="160"/>
      <c r="X47" s="51">
        <v>2971720</v>
      </c>
      <c r="Y47" s="52">
        <v>55496</v>
      </c>
      <c r="Z47" s="99">
        <v>0</v>
      </c>
      <c r="AA47" s="51">
        <v>0</v>
      </c>
      <c r="AB47" s="38">
        <f t="shared" si="2"/>
        <v>0</v>
      </c>
      <c r="AC47" s="75">
        <v>0.01</v>
      </c>
      <c r="AD47" s="80" t="s">
        <v>138</v>
      </c>
      <c r="AE47" s="81">
        <v>0.01</v>
      </c>
      <c r="AG47" s="82"/>
    </row>
    <row r="48" spans="1:33" ht="15">
      <c r="A48" s="91" t="s">
        <v>83</v>
      </c>
      <c r="B48" s="92" t="s">
        <v>160</v>
      </c>
      <c r="C48" s="41">
        <v>1165891</v>
      </c>
      <c r="D48" s="41">
        <v>31315</v>
      </c>
      <c r="E48" s="40">
        <f t="shared" si="4"/>
        <v>1197206</v>
      </c>
      <c r="F48" s="25">
        <v>1</v>
      </c>
      <c r="G48" s="48">
        <v>1854</v>
      </c>
      <c r="H48" s="47">
        <v>0</v>
      </c>
      <c r="I48" s="60">
        <v>1.6000000000000001E-3</v>
      </c>
      <c r="J48" s="66"/>
      <c r="K48" s="63">
        <v>761324</v>
      </c>
      <c r="L48" s="25">
        <v>0</v>
      </c>
      <c r="M48" s="48">
        <v>0</v>
      </c>
      <c r="N48" s="56">
        <v>0</v>
      </c>
      <c r="O48" s="148"/>
      <c r="P48" s="66"/>
      <c r="Q48" s="63">
        <v>1253661</v>
      </c>
      <c r="R48" s="63">
        <v>20923</v>
      </c>
      <c r="S48" s="25">
        <v>0</v>
      </c>
      <c r="T48" s="48">
        <v>0</v>
      </c>
      <c r="U48" s="55">
        <f t="shared" si="1"/>
        <v>0</v>
      </c>
      <c r="V48" s="148"/>
      <c r="W48" s="160"/>
      <c r="X48" s="51">
        <v>4464359</v>
      </c>
      <c r="Y48" s="52">
        <v>91500</v>
      </c>
      <c r="Z48" s="99">
        <v>1</v>
      </c>
      <c r="AA48" s="51">
        <v>1854</v>
      </c>
      <c r="AB48" s="38">
        <f t="shared" si="2"/>
        <v>4.0694850301556743E-4</v>
      </c>
      <c r="AC48" s="75">
        <v>0.01</v>
      </c>
      <c r="AD48" s="80" t="s">
        <v>138</v>
      </c>
      <c r="AE48" s="81">
        <v>0.01</v>
      </c>
      <c r="AG48" s="82"/>
    </row>
    <row r="49" spans="1:33" ht="15.75" customHeight="1">
      <c r="A49" s="91">
        <v>351</v>
      </c>
      <c r="B49" s="92" t="s">
        <v>85</v>
      </c>
      <c r="C49" s="40">
        <v>2390248</v>
      </c>
      <c r="D49" s="40">
        <v>76724</v>
      </c>
      <c r="E49" s="40">
        <f t="shared" si="4"/>
        <v>2466972</v>
      </c>
      <c r="F49" s="24">
        <v>0</v>
      </c>
      <c r="G49" s="47">
        <v>0</v>
      </c>
      <c r="H49" s="47">
        <v>0</v>
      </c>
      <c r="I49" s="60">
        <v>0</v>
      </c>
      <c r="J49" s="66"/>
      <c r="K49" s="62">
        <v>333943</v>
      </c>
      <c r="L49" s="24">
        <v>0</v>
      </c>
      <c r="M49" s="47">
        <v>0</v>
      </c>
      <c r="N49" s="56">
        <v>0</v>
      </c>
      <c r="O49" s="148"/>
      <c r="P49" s="66"/>
      <c r="Q49" s="62">
        <v>303836</v>
      </c>
      <c r="R49" s="62">
        <v>42240</v>
      </c>
      <c r="S49" s="24">
        <v>0</v>
      </c>
      <c r="T49" s="47">
        <v>0</v>
      </c>
      <c r="U49" s="55">
        <f t="shared" si="1"/>
        <v>0</v>
      </c>
      <c r="V49" s="148"/>
      <c r="W49" s="160"/>
      <c r="X49" s="51">
        <v>3590342</v>
      </c>
      <c r="Y49" s="52">
        <v>201588</v>
      </c>
      <c r="Z49" s="99">
        <v>0</v>
      </c>
      <c r="AA49" s="51">
        <v>0</v>
      </c>
      <c r="AB49" s="38">
        <f t="shared" si="2"/>
        <v>0</v>
      </c>
      <c r="AC49" s="74">
        <v>0.158</v>
      </c>
      <c r="AD49" s="80" t="s">
        <v>138</v>
      </c>
      <c r="AE49" s="81">
        <v>0.01</v>
      </c>
      <c r="AG49" s="82"/>
    </row>
    <row r="50" spans="1:33" ht="15">
      <c r="A50" s="91" t="s">
        <v>86</v>
      </c>
      <c r="B50" s="92" t="s">
        <v>87</v>
      </c>
      <c r="C50" s="41">
        <v>1685594</v>
      </c>
      <c r="D50" s="41">
        <v>7558</v>
      </c>
      <c r="E50" s="40">
        <f t="shared" si="4"/>
        <v>1693152</v>
      </c>
      <c r="F50" s="25">
        <v>0</v>
      </c>
      <c r="G50" s="48">
        <v>0</v>
      </c>
      <c r="H50" s="47">
        <v>0</v>
      </c>
      <c r="I50" s="60">
        <v>0</v>
      </c>
      <c r="J50" s="66"/>
      <c r="K50" s="63">
        <v>1183381</v>
      </c>
      <c r="L50" s="25">
        <v>0</v>
      </c>
      <c r="M50" s="48">
        <v>0</v>
      </c>
      <c r="N50" s="56">
        <v>0</v>
      </c>
      <c r="O50" s="148"/>
      <c r="P50" s="66"/>
      <c r="Q50" s="63">
        <v>1261677</v>
      </c>
      <c r="R50" s="63">
        <v>8360</v>
      </c>
      <c r="S50" s="25">
        <v>0</v>
      </c>
      <c r="T50" s="48">
        <v>0</v>
      </c>
      <c r="U50" s="55">
        <f t="shared" si="1"/>
        <v>0</v>
      </c>
      <c r="V50" s="148"/>
      <c r="W50" s="160"/>
      <c r="X50" s="51">
        <v>5621834</v>
      </c>
      <c r="Y50" s="52">
        <v>27400</v>
      </c>
      <c r="Z50" s="99">
        <v>0</v>
      </c>
      <c r="AA50" s="51">
        <v>0</v>
      </c>
      <c r="AB50" s="38">
        <f t="shared" si="2"/>
        <v>0</v>
      </c>
      <c r="AC50" s="75">
        <v>0.01</v>
      </c>
      <c r="AD50" s="80" t="s">
        <v>138</v>
      </c>
      <c r="AE50" s="81">
        <v>0.01</v>
      </c>
      <c r="AG50" s="82"/>
    </row>
    <row r="51" spans="1:33" ht="15">
      <c r="A51" s="91" t="s">
        <v>88</v>
      </c>
      <c r="B51" s="92" t="s">
        <v>161</v>
      </c>
      <c r="C51" s="41">
        <v>269212</v>
      </c>
      <c r="D51" s="41">
        <v>18771</v>
      </c>
      <c r="E51" s="40">
        <f t="shared" si="4"/>
        <v>287983</v>
      </c>
      <c r="F51" s="25">
        <v>1</v>
      </c>
      <c r="G51" s="48">
        <v>0</v>
      </c>
      <c r="H51" s="47">
        <v>110</v>
      </c>
      <c r="I51" s="60">
        <v>5.8999999999999999E-3</v>
      </c>
      <c r="J51" s="66"/>
      <c r="K51" s="63">
        <v>252142</v>
      </c>
      <c r="L51" s="25">
        <v>1</v>
      </c>
      <c r="M51" s="48">
        <v>1905</v>
      </c>
      <c r="N51" s="56">
        <v>7.6E-3</v>
      </c>
      <c r="O51" s="148"/>
      <c r="P51" s="66"/>
      <c r="Q51" s="63">
        <v>577344</v>
      </c>
      <c r="R51" s="63">
        <v>23125</v>
      </c>
      <c r="S51" s="25">
        <v>0</v>
      </c>
      <c r="T51" s="48">
        <v>0</v>
      </c>
      <c r="U51" s="55">
        <f t="shared" si="1"/>
        <v>0</v>
      </c>
      <c r="V51" s="148"/>
      <c r="W51" s="160"/>
      <c r="X51" s="51">
        <v>1361116</v>
      </c>
      <c r="Y51" s="52">
        <v>101857</v>
      </c>
      <c r="Z51" s="99">
        <v>2</v>
      </c>
      <c r="AA51" s="51">
        <f>1905+457</f>
        <v>2362</v>
      </c>
      <c r="AB51" s="38">
        <f t="shared" si="2"/>
        <v>1.6145205687323006E-3</v>
      </c>
      <c r="AC51" s="75">
        <v>0.01</v>
      </c>
      <c r="AD51" s="80" t="s">
        <v>138</v>
      </c>
      <c r="AE51" s="81">
        <v>0.01</v>
      </c>
      <c r="AG51" s="82"/>
    </row>
    <row r="52" spans="1:33" ht="15">
      <c r="A52" s="91" t="s">
        <v>90</v>
      </c>
      <c r="B52" s="92" t="s">
        <v>91</v>
      </c>
      <c r="C52" s="45">
        <v>2436564</v>
      </c>
      <c r="D52" s="45">
        <v>204061</v>
      </c>
      <c r="E52" s="40">
        <f t="shared" si="4"/>
        <v>2640625</v>
      </c>
      <c r="F52" s="27">
        <v>1</v>
      </c>
      <c r="G52" s="45">
        <v>4613</v>
      </c>
      <c r="H52" s="47">
        <v>0</v>
      </c>
      <c r="I52" s="60">
        <v>1.9E-3</v>
      </c>
      <c r="J52" s="66"/>
      <c r="K52" s="64">
        <v>3336208</v>
      </c>
      <c r="L52" s="29">
        <v>4</v>
      </c>
      <c r="M52" s="42">
        <v>18736</v>
      </c>
      <c r="N52" s="57">
        <v>5.5999999999999999E-3</v>
      </c>
      <c r="O52" s="148"/>
      <c r="P52" s="66"/>
      <c r="Q52" s="64">
        <v>2908707</v>
      </c>
      <c r="R52" s="64">
        <v>256518</v>
      </c>
      <c r="S52" s="29">
        <v>4</v>
      </c>
      <c r="T52" s="42">
        <v>51773</v>
      </c>
      <c r="U52" s="55">
        <f t="shared" si="1"/>
        <v>1.6356815076337385E-2</v>
      </c>
      <c r="V52" s="148"/>
      <c r="W52" s="160"/>
      <c r="X52" s="51">
        <v>10106919</v>
      </c>
      <c r="Y52" s="52">
        <v>897619</v>
      </c>
      <c r="Z52" s="99">
        <v>5</v>
      </c>
      <c r="AA52" s="51">
        <v>84150</v>
      </c>
      <c r="AB52" s="38">
        <f t="shared" si="2"/>
        <v>7.6468453287180252E-3</v>
      </c>
      <c r="AC52" s="75">
        <v>0.05</v>
      </c>
      <c r="AD52" s="80" t="s">
        <v>138</v>
      </c>
      <c r="AE52" s="81">
        <v>0.01</v>
      </c>
      <c r="AG52" s="82"/>
    </row>
    <row r="53" spans="1:33" ht="15">
      <c r="A53" s="91">
        <v>395</v>
      </c>
      <c r="B53" s="92" t="s">
        <v>162</v>
      </c>
      <c r="C53" s="40">
        <v>144427</v>
      </c>
      <c r="D53" s="40">
        <v>57877</v>
      </c>
      <c r="E53" s="40">
        <f t="shared" si="4"/>
        <v>202304</v>
      </c>
      <c r="F53" s="24">
        <v>1</v>
      </c>
      <c r="G53" s="47">
        <v>50459</v>
      </c>
      <c r="H53" s="47">
        <v>0</v>
      </c>
      <c r="I53" s="60">
        <v>0.34939999999999999</v>
      </c>
      <c r="J53" s="66"/>
      <c r="K53" s="62">
        <v>153662</v>
      </c>
      <c r="L53" s="24">
        <v>1</v>
      </c>
      <c r="M53" s="47">
        <v>1125</v>
      </c>
      <c r="N53" s="56">
        <v>7.3000000000000001E-3</v>
      </c>
      <c r="O53" s="148"/>
      <c r="P53" s="66"/>
      <c r="Q53" s="62">
        <v>141773</v>
      </c>
      <c r="R53" s="62">
        <v>46220</v>
      </c>
      <c r="S53" s="24">
        <v>0</v>
      </c>
      <c r="T53" s="47">
        <v>0</v>
      </c>
      <c r="U53" s="55">
        <f t="shared" si="1"/>
        <v>0</v>
      </c>
      <c r="V53" s="148"/>
      <c r="W53" s="160"/>
      <c r="X53" s="51">
        <v>605095</v>
      </c>
      <c r="Y53" s="52">
        <v>214857</v>
      </c>
      <c r="Z53" s="99">
        <v>2</v>
      </c>
      <c r="AA53" s="51">
        <v>54239</v>
      </c>
      <c r="AB53" s="38">
        <f t="shared" si="2"/>
        <v>6.6148994087458779E-2</v>
      </c>
      <c r="AC53" s="74">
        <v>2.3955759201974257E-2</v>
      </c>
      <c r="AD53" s="80" t="s">
        <v>149</v>
      </c>
      <c r="AE53" s="81">
        <f t="shared" si="3"/>
        <v>7.9378792904950535E-2</v>
      </c>
      <c r="AG53" s="82"/>
    </row>
    <row r="54" spans="1:33" ht="15">
      <c r="A54" s="129">
        <v>465</v>
      </c>
      <c r="B54" s="92" t="s">
        <v>93</v>
      </c>
      <c r="C54" s="45">
        <v>12862896</v>
      </c>
      <c r="D54" s="45">
        <v>2124118</v>
      </c>
      <c r="E54" s="40">
        <f t="shared" si="4"/>
        <v>14987014</v>
      </c>
      <c r="F54" s="27">
        <v>8</v>
      </c>
      <c r="G54" s="45">
        <v>339406</v>
      </c>
      <c r="H54" s="47">
        <v>946</v>
      </c>
      <c r="I54" s="60">
        <v>2.64E-2</v>
      </c>
      <c r="J54" s="66"/>
      <c r="K54" s="53">
        <v>6825392</v>
      </c>
      <c r="L54" s="29">
        <v>3</v>
      </c>
      <c r="M54" s="43">
        <v>12027</v>
      </c>
      <c r="N54" s="56">
        <v>1.8E-3</v>
      </c>
      <c r="O54" s="148"/>
      <c r="P54" s="66"/>
      <c r="Q54" s="53">
        <v>9987794</v>
      </c>
      <c r="R54" s="53">
        <v>1628717</v>
      </c>
      <c r="S54" s="29">
        <v>4</v>
      </c>
      <c r="T54" s="43">
        <f>99089+978</f>
        <v>100067</v>
      </c>
      <c r="U54" s="55">
        <f t="shared" si="1"/>
        <v>8.6142043854647923E-3</v>
      </c>
      <c r="V54" s="148"/>
      <c r="W54" s="160"/>
      <c r="X54" s="51">
        <v>39545411</v>
      </c>
      <c r="Y54" s="52">
        <v>7099657</v>
      </c>
      <c r="Z54" s="99">
        <v>13</v>
      </c>
      <c r="AA54" s="51">
        <f>720371+8037</f>
        <v>728408</v>
      </c>
      <c r="AB54" s="38">
        <f t="shared" si="2"/>
        <v>1.5615970374402714E-2</v>
      </c>
      <c r="AC54" s="76">
        <v>4.4000000000000003E-3</v>
      </c>
      <c r="AD54" s="80" t="s">
        <v>149</v>
      </c>
      <c r="AE54" s="81">
        <f t="shared" si="3"/>
        <v>1.8739164449283256E-2</v>
      </c>
      <c r="AG54" s="82"/>
    </row>
    <row r="55" spans="1:33" ht="15">
      <c r="A55" s="93">
        <v>225</v>
      </c>
      <c r="B55" s="94" t="s">
        <v>94</v>
      </c>
      <c r="C55" s="44">
        <v>19877358</v>
      </c>
      <c r="D55" s="44">
        <v>1616128</v>
      </c>
      <c r="E55" s="40">
        <f t="shared" si="4"/>
        <v>21493486</v>
      </c>
      <c r="F55" s="28">
        <v>9</v>
      </c>
      <c r="G55" s="49">
        <v>215711</v>
      </c>
      <c r="H55" s="47">
        <v>0</v>
      </c>
      <c r="I55" s="60">
        <v>1.09E-2</v>
      </c>
      <c r="J55" s="66"/>
      <c r="K55" s="65">
        <v>14422273</v>
      </c>
      <c r="L55" s="28">
        <v>10</v>
      </c>
      <c r="M55" s="49">
        <v>453208</v>
      </c>
      <c r="N55" s="56">
        <v>3.1399999999999997E-2</v>
      </c>
      <c r="O55" s="148"/>
      <c r="P55" s="66"/>
      <c r="Q55" s="65">
        <v>36042355</v>
      </c>
      <c r="R55" s="65">
        <v>1570450</v>
      </c>
      <c r="S55" s="28">
        <v>13</v>
      </c>
      <c r="T55" s="49">
        <f>380626+6653</f>
        <v>387279</v>
      </c>
      <c r="U55" s="55">
        <f t="shared" si="1"/>
        <v>1.0296466854838399E-2</v>
      </c>
      <c r="V55" s="148"/>
      <c r="W55" s="160"/>
      <c r="X55" s="51">
        <v>87955501</v>
      </c>
      <c r="Y55" s="52">
        <v>6366170</v>
      </c>
      <c r="Z55" s="99">
        <v>21</v>
      </c>
      <c r="AA55" s="51">
        <f>1155023+21573</f>
        <v>1176596</v>
      </c>
      <c r="AB55" s="38">
        <f t="shared" si="2"/>
        <v>1.2474291300458407E-2</v>
      </c>
      <c r="AC55" s="77">
        <v>1.2999999999999999E-2</v>
      </c>
      <c r="AD55" s="80" t="s">
        <v>149</v>
      </c>
      <c r="AE55" s="81">
        <f t="shared" si="3"/>
        <v>1.4969149560550088E-2</v>
      </c>
      <c r="AG55" s="82"/>
    </row>
    <row r="56" spans="1:33" ht="15">
      <c r="A56" s="91" t="s">
        <v>95</v>
      </c>
      <c r="B56" s="92" t="s">
        <v>163</v>
      </c>
      <c r="C56" s="41">
        <v>447577</v>
      </c>
      <c r="D56" s="41">
        <v>54235</v>
      </c>
      <c r="E56" s="40">
        <f t="shared" si="4"/>
        <v>501812</v>
      </c>
      <c r="F56" s="25">
        <v>0</v>
      </c>
      <c r="G56" s="48">
        <v>0</v>
      </c>
      <c r="H56" s="47">
        <v>0</v>
      </c>
      <c r="I56" s="60">
        <v>0</v>
      </c>
      <c r="J56" s="66"/>
      <c r="K56" s="63">
        <v>1222205</v>
      </c>
      <c r="L56" s="25">
        <v>0</v>
      </c>
      <c r="M56" s="48">
        <v>0</v>
      </c>
      <c r="N56" s="56">
        <v>0</v>
      </c>
      <c r="O56" s="148"/>
      <c r="P56" s="66"/>
      <c r="Q56" s="63">
        <v>1594554</v>
      </c>
      <c r="R56" s="63">
        <v>92591</v>
      </c>
      <c r="S56" s="25">
        <v>0</v>
      </c>
      <c r="T56" s="48">
        <v>0</v>
      </c>
      <c r="U56" s="55">
        <f t="shared" si="1"/>
        <v>0</v>
      </c>
      <c r="V56" s="148"/>
      <c r="W56" s="160"/>
      <c r="X56" s="51">
        <v>3959621</v>
      </c>
      <c r="Y56" s="52">
        <v>260867</v>
      </c>
      <c r="Z56" s="99">
        <v>1</v>
      </c>
      <c r="AA56" s="51">
        <v>26000</v>
      </c>
      <c r="AB56" s="38">
        <f t="shared" si="2"/>
        <v>6.1604250503733216E-3</v>
      </c>
      <c r="AC56" s="78">
        <v>0.01</v>
      </c>
      <c r="AD56" s="80" t="s">
        <v>138</v>
      </c>
      <c r="AE56" s="81">
        <v>0.01</v>
      </c>
      <c r="AG56" s="82"/>
    </row>
    <row r="57" spans="1:33" ht="15">
      <c r="A57" s="91" t="s">
        <v>97</v>
      </c>
      <c r="B57" s="92" t="s">
        <v>98</v>
      </c>
      <c r="C57" s="40">
        <v>258927</v>
      </c>
      <c r="D57" s="40">
        <v>306194</v>
      </c>
      <c r="E57" s="40">
        <f t="shared" si="4"/>
        <v>565121</v>
      </c>
      <c r="F57" s="24">
        <v>0</v>
      </c>
      <c r="G57" s="47">
        <v>0</v>
      </c>
      <c r="H57" s="47">
        <v>0</v>
      </c>
      <c r="I57" s="60">
        <v>0</v>
      </c>
      <c r="J57" s="66"/>
      <c r="K57" s="62">
        <v>176574</v>
      </c>
      <c r="L57" s="24">
        <v>0</v>
      </c>
      <c r="M57" s="47">
        <v>0</v>
      </c>
      <c r="N57" s="56">
        <v>0</v>
      </c>
      <c r="O57" s="148"/>
      <c r="P57" s="66"/>
      <c r="Q57" s="62">
        <v>58298</v>
      </c>
      <c r="R57" s="62">
        <v>261568</v>
      </c>
      <c r="S57" s="24">
        <v>0</v>
      </c>
      <c r="T57" s="47">
        <v>0</v>
      </c>
      <c r="U57" s="55">
        <f t="shared" si="1"/>
        <v>0</v>
      </c>
      <c r="V57" s="148"/>
      <c r="W57" s="160"/>
      <c r="X57" s="51">
        <v>809738</v>
      </c>
      <c r="Y57" s="52">
        <v>876594</v>
      </c>
      <c r="Z57" s="99">
        <v>0</v>
      </c>
      <c r="AA57" s="51">
        <v>0</v>
      </c>
      <c r="AB57" s="38">
        <f t="shared" si="2"/>
        <v>0</v>
      </c>
      <c r="AC57" s="75">
        <v>0.01</v>
      </c>
      <c r="AD57" s="80" t="s">
        <v>138</v>
      </c>
      <c r="AE57" s="81">
        <v>0.01</v>
      </c>
      <c r="AG57" s="82"/>
    </row>
    <row r="58" spans="1:33" ht="15">
      <c r="A58" s="95" t="s">
        <v>99</v>
      </c>
      <c r="B58" s="96" t="s">
        <v>164</v>
      </c>
      <c r="C58" s="41">
        <v>273736</v>
      </c>
      <c r="D58" s="41">
        <v>10796</v>
      </c>
      <c r="E58" s="40">
        <f t="shared" si="4"/>
        <v>284532</v>
      </c>
      <c r="F58" s="25">
        <v>0</v>
      </c>
      <c r="G58" s="48">
        <v>0</v>
      </c>
      <c r="H58" s="47">
        <v>0</v>
      </c>
      <c r="I58" s="60">
        <v>0</v>
      </c>
      <c r="J58" s="66"/>
      <c r="K58" s="63">
        <v>156964</v>
      </c>
      <c r="L58" s="25">
        <v>0</v>
      </c>
      <c r="M58" s="48">
        <v>0</v>
      </c>
      <c r="N58" s="56">
        <v>0</v>
      </c>
      <c r="O58" s="148"/>
      <c r="P58" s="66"/>
      <c r="Q58" s="113">
        <v>117714</v>
      </c>
      <c r="R58" s="113">
        <v>20251</v>
      </c>
      <c r="S58" s="114">
        <v>0</v>
      </c>
      <c r="T58" s="115">
        <v>0</v>
      </c>
      <c r="U58" s="116">
        <f t="shared" si="1"/>
        <v>0</v>
      </c>
      <c r="V58" s="148"/>
      <c r="W58" s="161"/>
      <c r="X58" s="100">
        <v>727772</v>
      </c>
      <c r="Y58" s="101">
        <v>49097</v>
      </c>
      <c r="Z58" s="102">
        <v>0</v>
      </c>
      <c r="AA58" s="100">
        <v>0</v>
      </c>
      <c r="AB58" s="103">
        <f t="shared" si="2"/>
        <v>0</v>
      </c>
      <c r="AC58" s="78">
        <v>0.01</v>
      </c>
      <c r="AD58" s="97" t="s">
        <v>138</v>
      </c>
      <c r="AE58" s="98">
        <v>0.01</v>
      </c>
      <c r="AG58" s="82"/>
    </row>
    <row r="59" spans="1:33" ht="15">
      <c r="B59" s="71"/>
      <c r="J59" s="67"/>
      <c r="K59" s="30"/>
      <c r="L59" s="30"/>
      <c r="M59" s="30"/>
      <c r="N59" s="30"/>
      <c r="O59" s="149"/>
      <c r="P59" s="120" t="s">
        <v>165</v>
      </c>
      <c r="Q59" s="117">
        <f>SUM(Q5:Q58)</f>
        <v>1371029424</v>
      </c>
      <c r="R59" s="117">
        <f>SUM(R5:R58)</f>
        <v>37497317</v>
      </c>
      <c r="S59" s="118">
        <f>SUM(S5:S58)</f>
        <v>172</v>
      </c>
      <c r="T59" s="117">
        <f>SUM(T5:T58)</f>
        <v>6669537</v>
      </c>
      <c r="U59" s="119">
        <f>T59/(Q59+R59)</f>
        <v>4.7351156395262217E-3</v>
      </c>
      <c r="V59" s="156"/>
      <c r="W59" s="122" t="s">
        <v>166</v>
      </c>
      <c r="X59" s="123">
        <f>SUM(X5:X58)</f>
        <v>5203903314</v>
      </c>
      <c r="Y59" s="123">
        <f>SUM(Y5:Y58)</f>
        <v>153527170</v>
      </c>
      <c r="Z59" s="124">
        <f>SUM(Z5:Z58)</f>
        <v>298</v>
      </c>
      <c r="AA59" s="123">
        <f>SUM(AA5:AA58)</f>
        <v>45699339</v>
      </c>
      <c r="AB59" s="125">
        <f>AA59/(X59+Y59)</f>
        <v>8.5300852967633203E-3</v>
      </c>
      <c r="AC59" s="157"/>
      <c r="AD59" s="157"/>
      <c r="AE59" s="158"/>
    </row>
    <row r="60" spans="1:33" ht="15">
      <c r="B60" s="71"/>
    </row>
    <row r="61" spans="1:33">
      <c r="B61" s="71"/>
    </row>
    <row r="62" spans="1:33">
      <c r="B62" s="71"/>
    </row>
    <row r="63" spans="1:33" ht="15">
      <c r="B63" s="71"/>
    </row>
    <row r="64" spans="1:33" ht="15">
      <c r="A64" s="82"/>
      <c r="C64" s="112" t="s">
        <v>167</v>
      </c>
    </row>
    <row r="65" spans="1:9" ht="30" customHeight="1">
      <c r="A65" s="83" t="s">
        <v>168</v>
      </c>
      <c r="B65" s="107">
        <f>SUM(X5:Y58)</f>
        <v>5357430484</v>
      </c>
      <c r="C65" s="104"/>
    </row>
    <row r="66" spans="1:9" ht="21.75" customHeight="1">
      <c r="A66" s="86" t="s">
        <v>133</v>
      </c>
      <c r="B66" s="126">
        <f>SUM(AA5:AA58)</f>
        <v>45699339</v>
      </c>
      <c r="C66" s="104"/>
    </row>
    <row r="67" spans="1:9" ht="47.25" customHeight="1">
      <c r="A67" s="86" t="s">
        <v>169</v>
      </c>
      <c r="B67" s="107" t="s">
        <v>170</v>
      </c>
      <c r="C67" s="104" t="s">
        <v>171</v>
      </c>
    </row>
    <row r="68" spans="1:9" ht="14.45" customHeight="1">
      <c r="A68" s="85" t="s">
        <v>172</v>
      </c>
      <c r="B68" s="108">
        <f>B66/B65</f>
        <v>8.5300852967633203E-3</v>
      </c>
      <c r="C68" s="104" t="s">
        <v>173</v>
      </c>
    </row>
    <row r="69" spans="1:9" ht="15" customHeight="1">
      <c r="A69" s="86" t="s">
        <v>174</v>
      </c>
      <c r="B69" s="109">
        <f>SUM(Z5:Z58)</f>
        <v>298</v>
      </c>
      <c r="C69" s="104"/>
    </row>
    <row r="70" spans="1:9" ht="42.75" customHeight="1">
      <c r="A70" s="86" t="s">
        <v>175</v>
      </c>
      <c r="B70" s="127" t="s">
        <v>176</v>
      </c>
      <c r="C70" s="104"/>
      <c r="D70" s="130"/>
      <c r="E70" s="130"/>
      <c r="F70" s="130"/>
      <c r="G70" s="130"/>
      <c r="H70" s="130"/>
      <c r="I70" s="130"/>
    </row>
    <row r="71" spans="1:9" ht="14.45" customHeight="1">
      <c r="A71" s="82"/>
      <c r="C71" s="104"/>
    </row>
    <row r="72" spans="1:9" ht="14.45" customHeight="1">
      <c r="A72" s="106" t="s">
        <v>177</v>
      </c>
      <c r="B72" s="110">
        <v>11158019488</v>
      </c>
      <c r="C72" s="104"/>
    </row>
    <row r="73" spans="1:9" ht="14.45" customHeight="1">
      <c r="A73" s="105" t="s">
        <v>178</v>
      </c>
      <c r="B73" s="111">
        <v>54394394</v>
      </c>
      <c r="C73" s="104"/>
    </row>
    <row r="74" spans="1:9" ht="14.45" customHeight="1">
      <c r="A74" s="105" t="s">
        <v>179</v>
      </c>
      <c r="B74" s="128">
        <v>5.0000000000000001E-3</v>
      </c>
      <c r="C74" s="104"/>
    </row>
    <row r="75" spans="1:9" ht="15">
      <c r="B75" s="71"/>
    </row>
    <row r="76" spans="1:9">
      <c r="B76" s="71"/>
    </row>
    <row r="77" spans="1:9">
      <c r="B77" s="71"/>
    </row>
    <row r="78" spans="1:9">
      <c r="B78" s="71"/>
    </row>
    <row r="79" spans="1:9" ht="15"/>
    <row r="80" spans="1:9" ht="15"/>
    <row r="81" ht="15"/>
  </sheetData>
  <autoFilter ref="A4:J4" xr:uid="{BB64EF6A-F13C-4AF5-BC81-342559636904}">
    <sortState xmlns:xlrd2="http://schemas.microsoft.com/office/spreadsheetml/2017/richdata2" ref="A5:J59">
      <sortCondition ref="B4"/>
    </sortState>
  </autoFilter>
  <mergeCells count="11">
    <mergeCell ref="O4:O59"/>
    <mergeCell ref="J2:O3"/>
    <mergeCell ref="P2:V3"/>
    <mergeCell ref="V4:V59"/>
    <mergeCell ref="AC59:AE59"/>
    <mergeCell ref="W5:W58"/>
    <mergeCell ref="A1:B3"/>
    <mergeCell ref="I1:I3"/>
    <mergeCell ref="J1:AD1"/>
    <mergeCell ref="AB2:AD3"/>
    <mergeCell ref="W2:AA3"/>
  </mergeCells>
  <pageMargins left="0.7" right="0.7" top="0.75" bottom="0.75" header="0.3" footer="0.3"/>
  <pageSetup paperSize="3"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608017911F1145BBCAD0F29504D099" ma:contentTypeVersion="4" ma:contentTypeDescription="Create a new document." ma:contentTypeScope="" ma:versionID="6810c7cef824784db36aa5371777f7c9">
  <xsd:schema xmlns:xsd="http://www.w3.org/2001/XMLSchema" xmlns:xs="http://www.w3.org/2001/XMLSchema" xmlns:p="http://schemas.microsoft.com/office/2006/metadata/properties" xmlns:ns2="d22d12b4-1a75-4b97-a3d0-48bbfc5d0569" targetNamespace="http://schemas.microsoft.com/office/2006/metadata/properties" ma:root="true" ma:fieldsID="fd55ed4c3375aefdc49fad4823e87103" ns2:_="">
    <xsd:import namespace="d22d12b4-1a75-4b97-a3d0-48bbfc5d05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d12b4-1a75-4b97-a3d0-48bbfc5d0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00002-8034-48F6-857A-5B39220774C6}"/>
</file>

<file path=customXml/itemProps2.xml><?xml version="1.0" encoding="utf-8"?>
<ds:datastoreItem xmlns:ds="http://schemas.openxmlformats.org/officeDocument/2006/customXml" ds:itemID="{DC379DB0-0D57-4085-8F2B-01962058C2A4}"/>
</file>

<file path=customXml/itemProps3.xml><?xml version="1.0" encoding="utf-8"?>
<ds:datastoreItem xmlns:ds="http://schemas.openxmlformats.org/officeDocument/2006/customXml" ds:itemID="{E2CC1473-192C-42D0-8D0A-771EA18D24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Langton, Jared (DVA)</dc:creator>
  <cp:keywords/>
  <dc:description/>
  <cp:lastModifiedBy/>
  <cp:revision/>
  <dcterms:created xsi:type="dcterms:W3CDTF">2023-07-06T15:56:55Z</dcterms:created>
  <dcterms:modified xsi:type="dcterms:W3CDTF">2024-07-29T15:46:31Z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0x010100E0608017911F1145BBCAD0F29504D099</vt:lpwstr>
  </property>
</Properties>
</file>